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Plantilla Ejecución " sheetId="3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7" i="3"/>
  <c r="J61"/>
  <c r="J23"/>
  <c r="J14"/>
  <c r="J11"/>
  <c r="J10"/>
  <c r="I23"/>
  <c r="I14"/>
  <c r="I11"/>
  <c r="I10"/>
  <c r="I70"/>
  <c r="I61"/>
  <c r="N74"/>
  <c r="M74"/>
  <c r="L74"/>
  <c r="K74"/>
  <c r="H87"/>
  <c r="I85"/>
  <c r="B10"/>
  <c r="H85"/>
  <c r="H61"/>
  <c r="H70"/>
  <c r="G70"/>
  <c r="F70"/>
  <c r="E70"/>
  <c r="H23"/>
  <c r="H15" s="1"/>
  <c r="H14"/>
  <c r="H11"/>
  <c r="H10"/>
  <c r="G61"/>
  <c r="G85"/>
  <c r="G23"/>
  <c r="G14"/>
  <c r="G12"/>
  <c r="G11"/>
  <c r="G10"/>
  <c r="F11"/>
  <c r="F61"/>
  <c r="F85"/>
  <c r="E85"/>
  <c r="F43"/>
  <c r="F23"/>
  <c r="F16"/>
  <c r="F14"/>
  <c r="F10"/>
  <c r="E61"/>
  <c r="D87"/>
  <c r="E23"/>
  <c r="E15" s="1"/>
  <c r="E14"/>
  <c r="E11"/>
  <c r="E10"/>
  <c r="D70"/>
  <c r="D74"/>
  <c r="D85"/>
  <c r="C87"/>
  <c r="C74"/>
  <c r="N66"/>
  <c r="M66"/>
  <c r="L66"/>
  <c r="K66"/>
  <c r="J66"/>
  <c r="I66"/>
  <c r="H66"/>
  <c r="G66"/>
  <c r="F66"/>
  <c r="E66"/>
  <c r="D66"/>
  <c r="D61"/>
  <c r="N51"/>
  <c r="M51"/>
  <c r="L51"/>
  <c r="K51"/>
  <c r="J51"/>
  <c r="I51"/>
  <c r="H51"/>
  <c r="G51"/>
  <c r="F51"/>
  <c r="E51"/>
  <c r="D51"/>
  <c r="N43"/>
  <c r="M43"/>
  <c r="L43"/>
  <c r="K43"/>
  <c r="J43"/>
  <c r="I43"/>
  <c r="H43"/>
  <c r="G43"/>
  <c r="E43"/>
  <c r="D43"/>
  <c r="N35"/>
  <c r="M35"/>
  <c r="L35"/>
  <c r="K35"/>
  <c r="J35"/>
  <c r="I35"/>
  <c r="H35"/>
  <c r="G35"/>
  <c r="F35"/>
  <c r="E35"/>
  <c r="D35"/>
  <c r="N25"/>
  <c r="M25"/>
  <c r="L25"/>
  <c r="K25"/>
  <c r="J25"/>
  <c r="I25"/>
  <c r="H25"/>
  <c r="H74" s="1"/>
  <c r="G25"/>
  <c r="F25"/>
  <c r="E25"/>
  <c r="D25"/>
  <c r="N15"/>
  <c r="M15"/>
  <c r="L15"/>
  <c r="K15"/>
  <c r="J15"/>
  <c r="I15"/>
  <c r="G15"/>
  <c r="D15"/>
  <c r="D9"/>
  <c r="D23"/>
  <c r="D14"/>
  <c r="D12"/>
  <c r="D11"/>
  <c r="D10"/>
  <c r="C85"/>
  <c r="C14"/>
  <c r="C10"/>
  <c r="G74" l="1"/>
  <c r="G87" s="1"/>
  <c r="B66"/>
  <c r="B51"/>
  <c r="B43"/>
  <c r="B35"/>
  <c r="B25"/>
  <c r="F15"/>
  <c r="B15" s="1"/>
  <c r="E74"/>
  <c r="E87" s="1"/>
  <c r="B61"/>
  <c r="C70"/>
  <c r="C66"/>
  <c r="C51"/>
  <c r="C43"/>
  <c r="C35"/>
  <c r="C25"/>
  <c r="C15"/>
  <c r="C23"/>
  <c r="C12"/>
  <c r="C11"/>
  <c r="B68"/>
  <c r="N9"/>
  <c r="M9" l="1"/>
  <c r="L9"/>
  <c r="H9"/>
  <c r="I9"/>
  <c r="I74" s="1"/>
  <c r="I87" s="1"/>
  <c r="G9"/>
  <c r="K9"/>
  <c r="J9"/>
  <c r="J74" s="1"/>
  <c r="F9"/>
  <c r="F74" s="1"/>
  <c r="F87" s="1"/>
  <c r="B84"/>
  <c r="B83"/>
  <c r="B82"/>
  <c r="B81"/>
  <c r="B80"/>
  <c r="B79"/>
  <c r="B78"/>
  <c r="B73"/>
  <c r="B72"/>
  <c r="B71"/>
  <c r="B70"/>
  <c r="B69"/>
  <c r="B67"/>
  <c r="B65"/>
  <c r="B64"/>
  <c r="B63"/>
  <c r="B62"/>
  <c r="B60"/>
  <c r="B59"/>
  <c r="B58"/>
  <c r="B57"/>
  <c r="B56"/>
  <c r="B55"/>
  <c r="B54"/>
  <c r="B53"/>
  <c r="B52"/>
  <c r="B50"/>
  <c r="B49"/>
  <c r="B48"/>
  <c r="B47"/>
  <c r="B46"/>
  <c r="B45"/>
  <c r="B44"/>
  <c r="B42"/>
  <c r="B41"/>
  <c r="B39"/>
  <c r="B38"/>
  <c r="B37"/>
  <c r="B36"/>
  <c r="B34"/>
  <c r="B33"/>
  <c r="B32"/>
  <c r="B31"/>
  <c r="B30"/>
  <c r="B29"/>
  <c r="B28"/>
  <c r="B27"/>
  <c r="B26"/>
  <c r="B24"/>
  <c r="B23"/>
  <c r="B22"/>
  <c r="B21"/>
  <c r="B20"/>
  <c r="B19"/>
  <c r="B18"/>
  <c r="B17"/>
  <c r="B16"/>
  <c r="B14"/>
  <c r="B13"/>
  <c r="B12"/>
  <c r="B11"/>
  <c r="E9"/>
  <c r="B77"/>
  <c r="B87" l="1"/>
  <c r="B9"/>
  <c r="C9"/>
  <c r="B74" l="1"/>
  <c r="B85"/>
  <c r="B86"/>
  <c r="U8" l="1"/>
  <c r="V8" s="1"/>
  <c r="W8" s="1"/>
  <c r="X8" s="1"/>
  <c r="Y8" s="1"/>
  <c r="AA8" s="1"/>
  <c r="T8"/>
  <c r="Z7" l="1"/>
  <c r="AA7" s="1"/>
</calcChain>
</file>

<file path=xl/sharedStrings.xml><?xml version="1.0" encoding="utf-8"?>
<sst xmlns="http://schemas.openxmlformats.org/spreadsheetml/2006/main" count="105" uniqueCount="105">
  <si>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</si>
  <si>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</si>
  <si>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</si>
  <si>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</si>
  <si>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</si>
  <si>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</si>
  <si>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</si>
  <si>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</si>
  <si>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</si>
  <si>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</si>
  <si>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</si>
  <si>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</si>
  <si>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</si>
  <si>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</si>
  <si>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</si>
  <si>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</si>
  <si>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</si>
  <si>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</si>
  <si>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</si>
  <si>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</si>
  <si>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</si>
  <si>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</si>
  <si>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</si>
  <si>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</si>
  <si>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</si>
  <si>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</si>
  <si>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</si>
  <si>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</si>
  <si>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</si>
  <si>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</si>
  <si>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</si>
  <si>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</si>
  <si>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</si>
  <si>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</si>
  <si>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</si>
  <si>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</si>
  <si>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</si>
  <si>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</si>
  <si>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</si>
  <si>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</si>
  <si>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</si>
  <si>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</si>
  <si>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</si>
  <si>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</si>
  <si>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</si>
  <si>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</si>
  <si>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</si>
  <si>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</si>
  <si>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</si>
  <si>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</si>
  <si>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</si>
  <si>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</si>
  <si>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</si>
  <si>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</si>
  <si>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</si>
  <si>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</si>
  <si>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</si>
  <si>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</si>
  <si>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</si>
  <si>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</si>
  <si>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</si>
  <si>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</si>
  <si>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</si>
  <si>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</si>
  <si>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</si>
  <si>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</si>
  <si>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</si>
  <si>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</si>
  <si>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</si>
  <si>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</si>
  <si>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</si>
  <si>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</si>
  <si>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</si>
  <si>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</si>
  <si>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</si>
  <si>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</si>
  <si>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</si>
  <si>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</si>
  <si>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</si>
  <si>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</si>
  <si>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</si>
  <si>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</si>
  <si>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</si>
  <si>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</si>
  <si>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</si>
  <si>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</si>
  <si>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</si>
  <si>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</si>
  <si>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</si>
  <si>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</si>
  <si>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</si>
  <si>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</si>
  <si>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</si>
  <si>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</si>
  <si>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</si>
  <si>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</si>
  <si>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</si>
  <si>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>Fecha de registro: hasta el [día] de [mes] del [año]</t>
  </si>
  <si>
    <t>Fecha de imputación: hasta el [día] de [mes] del [año]</t>
  </si>
  <si>
    <t>Fuente: [fuente]</t>
  </si>
  <si>
    <t xml:space="preserve">Ejecución de Gastos y Aplicaciones Financieras </t>
  </si>
  <si>
    <t xml:space="preserve">Total </t>
  </si>
  <si>
    <t>Presidencia de la República Dominicana</t>
  </si>
  <si>
    <t>Dirección Nacional de Control de Drogas</t>
  </si>
  <si>
    <t>2.8.5 - APORTES DE CAPITAL AL SECTOR PUBLICO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</si>
</sst>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1" fillId="0" borderId="1" xfId="1" applyFont="1" applyBorder="1" applyAlignment="1">
      <alignment horizontal="left" vertical="center" wrapText="1"/>
    </xf>
    <xf numFmtId="164" fontId="0" fillId="0" borderId="0" xfId="1" applyFont="1"/>
    <xf numFmtId="164" fontId="1" fillId="0" borderId="0" xfId="1" applyFont="1"/>
    <xf numFmtId="9" fontId="0" fillId="0" borderId="0" xfId="2" applyFont="1"/>
    <xf numFmtId="164" fontId="0" fillId="0" borderId="0" xfId="0" applyNumberFormat="1"/>
    <xf numFmtId="164" fontId="7" fillId="0" borderId="0" xfId="1" applyFont="1" applyAlignment="1">
      <alignment vertical="center"/>
    </xf>
    <xf numFmtId="164" fontId="4" fillId="0" borderId="0" xfId="1" applyFont="1"/>
    <xf numFmtId="164" fontId="6" fillId="4" borderId="0" xfId="1" applyFont="1" applyFill="1" applyBorder="1"/>
    <xf numFmtId="164" fontId="5" fillId="4" borderId="0" xfId="1" applyFont="1" applyFill="1" applyBorder="1"/>
    <xf numFmtId="164" fontId="4" fillId="0" borderId="0" xfId="1"/>
    <xf numFmtId="164" fontId="4" fillId="0" borderId="0" xfId="1" applyBorder="1"/>
    <xf numFmtId="164" fontId="6" fillId="0" borderId="0" xfId="1" applyFont="1" applyFill="1" applyBorder="1"/>
    <xf numFmtId="164" fontId="4" fillId="0" borderId="0" xfId="1" applyFont="1" applyFill="1" applyBorder="1"/>
    <xf numFmtId="164" fontId="4" fillId="0" borderId="0" xfId="1" applyFill="1" applyBorder="1"/>
    <xf numFmtId="164" fontId="4" fillId="0" borderId="0" xfId="1" applyFont="1" applyFill="1"/>
    <xf numFmtId="164" fontId="1" fillId="3" borderId="2" xfId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164" fontId="1" fillId="5" borderId="0" xfId="1" applyFont="1" applyFill="1" applyBorder="1"/>
    <xf numFmtId="164" fontId="1" fillId="2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4" fillId="0" borderId="0" xfId="1" applyFont="1" applyBorder="1"/>
    <xf numFmtId="164" fontId="0" fillId="0" borderId="0" xfId="1" applyFont="1" applyBorder="1"/>
    <xf numFmtId="0" fontId="0" fillId="0" borderId="0" xfId="0" applyBorder="1" applyAlignment="1">
      <alignment horizontal="left" vertical="center" wrapText="1" indent="2"/>
    </xf>
    <xf numFmtId="164" fontId="5" fillId="5" borderId="4" xfId="1" applyFont="1" applyFill="1" applyBorder="1"/>
    <xf numFmtId="0" fontId="1" fillId="6" borderId="0" xfId="0" applyFont="1" applyFill="1" applyAlignment="1">
      <alignment horizontal="left" vertical="center" wrapText="1"/>
    </xf>
    <xf numFmtId="164" fontId="1" fillId="6" borderId="0" xfId="1" applyFont="1" applyFill="1" applyAlignment="1">
      <alignment vertical="center"/>
    </xf>
    <xf numFmtId="164" fontId="5" fillId="6" borderId="0" xfId="1" applyFont="1" applyFill="1" applyBorder="1" applyAlignment="1">
      <alignment vertical="center"/>
    </xf>
    <xf numFmtId="164" fontId="5" fillId="6" borderId="0" xfId="1" applyFont="1" applyFill="1" applyBorder="1"/>
    <xf numFmtId="164" fontId="0" fillId="6" borderId="0" xfId="1" applyFont="1" applyFill="1"/>
    <xf numFmtId="164" fontId="6" fillId="6" borderId="0" xfId="1" applyFont="1" applyFill="1" applyBorder="1"/>
    <xf numFmtId="0" fontId="1" fillId="6" borderId="0" xfId="0" applyFont="1" applyFill="1" applyBorder="1" applyAlignment="1">
      <alignment horizontal="left" vertical="center" wrapText="1"/>
    </xf>
    <xf numFmtId="164" fontId="4" fillId="6" borderId="0" xfId="1" applyFont="1" applyFill="1" applyBorder="1"/>
    <xf numFmtId="164" fontId="1" fillId="6" borderId="0" xfId="1" applyFont="1" applyFill="1" applyBorder="1" applyAlignment="1">
      <alignment vertical="center" wrapText="1"/>
    </xf>
    <xf numFmtId="164" fontId="1" fillId="6" borderId="0" xfId="1" applyFont="1" applyFill="1" applyBorder="1"/>
    <xf numFmtId="164" fontId="0" fillId="6" borderId="0" xfId="1" applyFont="1" applyFill="1" applyBorder="1"/>
    <xf numFmtId="164" fontId="1" fillId="6" borderId="0" xfId="1" applyFont="1" applyFill="1"/>
    <xf numFmtId="0" fontId="0" fillId="6" borderId="0" xfId="0" applyFill="1"/>
    <xf numFmtId="164" fontId="2" fillId="3" borderId="0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4">
    <cellStyle name="Millares" xfId="1" builtinId="3"/>
    <cellStyle name="Normal" xfId="0" builtinId="0"/>
    <cellStyle name="Normal 4 2" xfId="3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510423</xdr:colOff>
      <xdr:row>0</xdr:row>
      <xdr:rowOff>40342</xdr:rowOff>
    </xdr:from>
    <xdr:to>
      <xdr:col>4</xdr:col>
      <xdr:colOff>538438</xdr:colOff>
      <xdr:row>4</xdr:row>
      <xdr:rowOff>156882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90217" y="40342"/>
          <a:ext cx="1014133" cy="1057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102"/>
  <sheetViews>
    <sheetView showGridLines="0" tabSelected="1" zoomScale="85" zoomScaleNormal="85" workbookViewId="0">
      <selection activeCell="K9" sqref="K9"/>
    </sheetView>
  </sheetViews>
  <sheetFormatPr baseColWidth="10" defaultColWidth="9.140625" defaultRowHeight="15"/>
  <cols>
    <col min="1" max="1" width="31.140625" customWidth="1"/>
    <col min="2" max="2" width="16.85546875" bestFit="1" customWidth="1"/>
    <col min="3" max="3" width="15.140625" bestFit="1" customWidth="1"/>
    <col min="4" max="4" width="14.7109375" bestFit="1" customWidth="1"/>
    <col min="5" max="5" width="14.7109375" customWidth="1"/>
    <col min="6" max="6" width="15.140625" bestFit="1" customWidth="1"/>
    <col min="7" max="7" width="14.7109375" customWidth="1"/>
    <col min="8" max="8" width="14.7109375" style="9" customWidth="1"/>
    <col min="9" max="10" width="14.7109375" customWidth="1"/>
    <col min="11" max="12" width="15.140625" bestFit="1" customWidth="1"/>
    <col min="13" max="13" width="14.140625" bestFit="1" customWidth="1"/>
    <col min="14" max="14" width="15.140625" bestFit="1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8.75">
      <c r="A1" s="47" t="s">
        <v>102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P1" s="3" t="s">
        <v>91</v>
      </c>
    </row>
    <row r="2" spans="1:27" ht="18.75">
      <c r="A2" s="47" t="s">
        <v>103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P2" s="7" t="s">
        <v>93</v>
      </c>
    </row>
    <row r="3" spans="1:27" ht="18.75">
      <c r="A3" s="47">
        <v>2021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P3" s="7" t="s">
        <v>94</v>
      </c>
    </row>
    <row r="4" spans="1:27" ht="18.75">
      <c r="A4" s="47" t="s">
        <v>100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P4" s="7" t="s">
        <v>92</v>
      </c>
    </row>
    <row r="5" spans="1:27" ht="18.75">
      <c r="A5" s="48" t="s">
        <v>36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P5" s="7" t="s">
        <v>95</v>
      </c>
    </row>
    <row r="6" spans="1:27" ht="6" customHeight="1">
      <c r="P6" s="7" t="s">
        <v>96</v>
      </c>
    </row>
    <row r="7" spans="1:27" ht="15.75">
      <c r="A7" s="5" t="s">
        <v>0</v>
      </c>
      <c r="B7" s="6" t="s">
        <v>101</v>
      </c>
      <c r="C7" s="6" t="s">
        <v>79</v>
      </c>
      <c r="D7" s="6" t="s">
        <v>80</v>
      </c>
      <c r="E7" s="6" t="s">
        <v>81</v>
      </c>
      <c r="F7" s="6" t="s">
        <v>82</v>
      </c>
      <c r="G7" s="6" t="s">
        <v>83</v>
      </c>
      <c r="H7" s="46" t="s">
        <v>84</v>
      </c>
      <c r="I7" s="6" t="s">
        <v>85</v>
      </c>
      <c r="J7" s="6" t="s">
        <v>86</v>
      </c>
      <c r="K7" s="6" t="s">
        <v>87</v>
      </c>
      <c r="L7" s="6" t="s">
        <v>88</v>
      </c>
      <c r="M7" s="6" t="s">
        <v>89</v>
      </c>
      <c r="N7" s="6" t="s">
        <v>90</v>
      </c>
      <c r="Z7" s="12">
        <f>SUM(R8:Z8)</f>
        <v>11.029108875781253</v>
      </c>
      <c r="AA7" s="12">
        <f>+Z7+AA8</f>
        <v>13.989108875781252</v>
      </c>
    </row>
    <row r="8" spans="1:27">
      <c r="A8" s="1" t="s">
        <v>1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R8" s="9">
        <v>1</v>
      </c>
      <c r="S8" s="9">
        <v>1.05</v>
      </c>
      <c r="T8" s="9">
        <f>+S8*1.05</f>
        <v>1.1025</v>
      </c>
      <c r="U8" s="9">
        <f t="shared" ref="U8:Y8" si="0">+T8*1.05</f>
        <v>1.1576250000000001</v>
      </c>
      <c r="V8" s="9">
        <f t="shared" si="0"/>
        <v>1.2155062500000002</v>
      </c>
      <c r="W8" s="9">
        <f t="shared" si="0"/>
        <v>1.2762815625000004</v>
      </c>
      <c r="X8" s="9">
        <f t="shared" si="0"/>
        <v>1.3400956406250004</v>
      </c>
      <c r="Y8" s="9">
        <f t="shared" si="0"/>
        <v>1.4071004226562505</v>
      </c>
      <c r="Z8" s="9">
        <v>1.48</v>
      </c>
      <c r="AA8" s="9">
        <f>+Z8*2</f>
        <v>2.96</v>
      </c>
    </row>
    <row r="9" spans="1:27" ht="30">
      <c r="A9" s="33" t="s">
        <v>2</v>
      </c>
      <c r="B9" s="34">
        <f>SUM(C9:N9)</f>
        <v>746304203.38999987</v>
      </c>
      <c r="C9" s="35">
        <f t="shared" ref="C9" si="1">+C10+C11+C12+C13+C14</f>
        <v>90040252.120000005</v>
      </c>
      <c r="D9" s="35">
        <f>SUM(D10:D14)</f>
        <v>89298939.719999999</v>
      </c>
      <c r="E9" s="35">
        <f>+E10+E11+E12+E13+E14</f>
        <v>90089032.670000002</v>
      </c>
      <c r="F9" s="35">
        <f>+F10+F11+F12+F13+F14</f>
        <v>95610061.760000005</v>
      </c>
      <c r="G9" s="35">
        <f>+G10+G11+G12+G13+G14</f>
        <v>94755377.779999986</v>
      </c>
      <c r="H9" s="35">
        <f>+H10+H11+H12+H13+H14</f>
        <v>94566925.36999999</v>
      </c>
      <c r="I9" s="35">
        <f>+I10+I11+I12+I14</f>
        <v>95061989.910000011</v>
      </c>
      <c r="J9" s="35">
        <f>+J10+J11+J12+J13+J14</f>
        <v>96881624.060000002</v>
      </c>
      <c r="K9" s="35">
        <f>+K10+K11+K12+K13+K14</f>
        <v>0</v>
      </c>
      <c r="L9" s="35">
        <f>+L10+L11+L12+L13+L14</f>
        <v>0</v>
      </c>
      <c r="M9" s="35">
        <f>+M10+M11+M12+M13+M14</f>
        <v>0</v>
      </c>
      <c r="N9" s="35">
        <f>+N10+N11+N12+N13+N14</f>
        <v>0</v>
      </c>
      <c r="R9" s="11"/>
    </row>
    <row r="10" spans="1:27">
      <c r="A10" s="2" t="s">
        <v>3</v>
      </c>
      <c r="B10" s="14">
        <f>SUM(C10:N10)</f>
        <v>657589379.03000009</v>
      </c>
      <c r="C10" s="15">
        <f>63125272.33+15800000+50145+32500</f>
        <v>79007917.329999998</v>
      </c>
      <c r="D10" s="15">
        <f>62848866.26+15800000+50145</f>
        <v>78699011.25999999</v>
      </c>
      <c r="E10" s="15">
        <f>63805978.21+15800000+50145+8200</f>
        <v>79664323.210000008</v>
      </c>
      <c r="F10" s="15">
        <f>66938507.09+17800000+50145+32287.09</f>
        <v>84820939.180000007</v>
      </c>
      <c r="G10" s="15">
        <f>66780022.07+16800000+49995+55500</f>
        <v>83685517.069999993</v>
      </c>
      <c r="H10" s="15">
        <f>67169629.77+15800000+236995</f>
        <v>83206624.769999996</v>
      </c>
      <c r="I10" s="15">
        <f>67401449.87+15800000+187000</f>
        <v>83388449.870000005</v>
      </c>
      <c r="J10" s="9">
        <f>69113096.34+15800000+203500</f>
        <v>85116596.340000004</v>
      </c>
      <c r="K10" s="9"/>
      <c r="L10" s="9"/>
      <c r="M10" s="9"/>
      <c r="N10" s="9"/>
    </row>
    <row r="11" spans="1:27">
      <c r="A11" s="2" t="s">
        <v>4</v>
      </c>
      <c r="B11" s="14">
        <f t="shared" ref="B11:B73" si="2">SUM(C11:N11)</f>
        <v>75109185.879999995</v>
      </c>
      <c r="C11" s="15">
        <f>2664352+6605510+66500</f>
        <v>9336362</v>
      </c>
      <c r="D11" s="15">
        <f>2002633+6682910+66500</f>
        <v>8752043</v>
      </c>
      <c r="E11" s="15">
        <f>2046060+6688360+66500</f>
        <v>8800920</v>
      </c>
      <c r="F11" s="15">
        <f>2142586+6967635+66500</f>
        <v>9176721</v>
      </c>
      <c r="G11" s="15">
        <f>2932770+66500+6408451.54</f>
        <v>9407721.5399999991</v>
      </c>
      <c r="H11" s="15">
        <f>2506932.4+350000+66500+6714841.54</f>
        <v>9638273.9399999995</v>
      </c>
      <c r="I11" s="15">
        <f>2475707.4+350000+66500+7069630</f>
        <v>9961837.4000000004</v>
      </c>
      <c r="J11" s="17">
        <f>2297582+350000+66500+7321225</f>
        <v>10035307</v>
      </c>
      <c r="K11" s="9"/>
      <c r="L11" s="9"/>
      <c r="M11" s="9"/>
      <c r="N11" s="9"/>
    </row>
    <row r="12" spans="1:27" ht="30">
      <c r="A12" s="2" t="s">
        <v>37</v>
      </c>
      <c r="B12" s="14">
        <f t="shared" si="2"/>
        <v>583942.99</v>
      </c>
      <c r="C12" s="15">
        <f>24000+37500</f>
        <v>61500</v>
      </c>
      <c r="D12" s="15">
        <f>37500+220077.48</f>
        <v>257577.48</v>
      </c>
      <c r="E12" s="15">
        <v>37500</v>
      </c>
      <c r="F12" s="15">
        <v>37500</v>
      </c>
      <c r="G12" s="15">
        <f>37500+39865.51</f>
        <v>77365.510000000009</v>
      </c>
      <c r="H12" s="15">
        <v>37500</v>
      </c>
      <c r="I12" s="15">
        <v>37500</v>
      </c>
      <c r="J12" s="18">
        <v>37500</v>
      </c>
      <c r="K12" s="9"/>
      <c r="L12" s="19"/>
      <c r="M12" s="9"/>
      <c r="N12" s="9"/>
    </row>
    <row r="13" spans="1:27" ht="30">
      <c r="A13" s="2" t="s">
        <v>5</v>
      </c>
      <c r="B13" s="14">
        <f t="shared" si="2"/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9">
        <v>0</v>
      </c>
      <c r="K13" s="14"/>
      <c r="L13" s="9"/>
      <c r="M13" s="9"/>
      <c r="N13" s="9"/>
    </row>
    <row r="14" spans="1:27" ht="30">
      <c r="A14" s="2" t="s">
        <v>6</v>
      </c>
      <c r="B14" s="14">
        <f t="shared" si="2"/>
        <v>13021695.490000002</v>
      </c>
      <c r="C14" s="15">
        <f>1414944.05+219528.74</f>
        <v>1634472.79</v>
      </c>
      <c r="D14" s="15">
        <f>1376710.68+213597.3</f>
        <v>1590307.98</v>
      </c>
      <c r="E14" s="15">
        <f>1373231.89+213057.57</f>
        <v>1586289.46</v>
      </c>
      <c r="F14" s="15">
        <f>1363373.53+211528.05</f>
        <v>1574901.58</v>
      </c>
      <c r="G14" s="15">
        <f>1371919.6+212854.06</f>
        <v>1584773.6600000001</v>
      </c>
      <c r="H14" s="15">
        <f>1458274.31+226252.35</f>
        <v>1684526.6600000001</v>
      </c>
      <c r="I14" s="15">
        <f>1449336.92+224865.72</f>
        <v>1674202.64</v>
      </c>
      <c r="J14" s="17">
        <f>1464934.93+227285.79</f>
        <v>1692220.72</v>
      </c>
      <c r="K14" s="9"/>
      <c r="L14" s="9"/>
      <c r="M14" s="9"/>
      <c r="N14" s="9"/>
    </row>
    <row r="15" spans="1:27" ht="26.25" customHeight="1">
      <c r="A15" s="33" t="s">
        <v>7</v>
      </c>
      <c r="B15" s="34">
        <f>SUM(C15:N15)</f>
        <v>71952118.320000008</v>
      </c>
      <c r="C15" s="35">
        <f>+C16+C17+C18+C19+C20+C21+C22+C23+C24</f>
        <v>6923964.0199999996</v>
      </c>
      <c r="D15" s="35">
        <f t="shared" ref="D15:N15" si="3">+D16+D17+D18+D19+D20+D21+D22+D23+D24</f>
        <v>8210055.7600000007</v>
      </c>
      <c r="E15" s="35">
        <f t="shared" si="3"/>
        <v>7036913.8299999991</v>
      </c>
      <c r="F15" s="35">
        <f t="shared" si="3"/>
        <v>10291114.1</v>
      </c>
      <c r="G15" s="35">
        <f t="shared" si="3"/>
        <v>7039134.5199999996</v>
      </c>
      <c r="H15" s="35">
        <f t="shared" si="3"/>
        <v>8813982.2699999996</v>
      </c>
      <c r="I15" s="35">
        <f t="shared" si="3"/>
        <v>13486961.420000002</v>
      </c>
      <c r="J15" s="35">
        <f t="shared" si="3"/>
        <v>10149992.4</v>
      </c>
      <c r="K15" s="35">
        <f t="shared" si="3"/>
        <v>0</v>
      </c>
      <c r="L15" s="35">
        <f t="shared" si="3"/>
        <v>0</v>
      </c>
      <c r="M15" s="35">
        <f t="shared" si="3"/>
        <v>0</v>
      </c>
      <c r="N15" s="35">
        <f t="shared" si="3"/>
        <v>0</v>
      </c>
    </row>
    <row r="16" spans="1:27">
      <c r="A16" s="2" t="s">
        <v>8</v>
      </c>
      <c r="B16" s="14">
        <f t="shared" si="2"/>
        <v>15456034.230000002</v>
      </c>
      <c r="C16" s="15">
        <v>2072274</v>
      </c>
      <c r="D16" s="15">
        <v>2162271.73</v>
      </c>
      <c r="E16" s="15">
        <v>2004573.28</v>
      </c>
      <c r="F16" s="15">
        <f>1526902.85+485248.04+8119</f>
        <v>2020269.8900000001</v>
      </c>
      <c r="G16" s="15">
        <v>2158316.61</v>
      </c>
      <c r="H16" s="15">
        <v>2174484.4500000002</v>
      </c>
      <c r="I16" s="15">
        <v>1480201.97</v>
      </c>
      <c r="J16" s="17">
        <v>1383642.3</v>
      </c>
      <c r="K16" s="9"/>
      <c r="L16" s="9"/>
      <c r="M16" s="9"/>
      <c r="N16" s="9"/>
    </row>
    <row r="17" spans="1:14" ht="45">
      <c r="A17" s="2" t="s">
        <v>9</v>
      </c>
      <c r="B17" s="14">
        <f t="shared" si="2"/>
        <v>254949.99</v>
      </c>
      <c r="C17" s="15">
        <v>0</v>
      </c>
      <c r="D17" s="15">
        <v>0</v>
      </c>
      <c r="E17" s="15">
        <v>0</v>
      </c>
      <c r="F17" s="15">
        <v>74999.990000000005</v>
      </c>
      <c r="G17" s="15">
        <v>0</v>
      </c>
      <c r="H17" s="15">
        <v>179950</v>
      </c>
      <c r="I17" s="15">
        <v>0</v>
      </c>
      <c r="J17" s="17">
        <v>0</v>
      </c>
      <c r="K17" s="9"/>
      <c r="L17" s="9"/>
      <c r="M17" s="9"/>
      <c r="N17" s="9"/>
    </row>
    <row r="18" spans="1:14">
      <c r="A18" s="2" t="s">
        <v>10</v>
      </c>
      <c r="B18" s="14">
        <f t="shared" si="2"/>
        <v>2988364.6399999997</v>
      </c>
      <c r="C18" s="15">
        <v>178940</v>
      </c>
      <c r="D18" s="15">
        <v>183397.2</v>
      </c>
      <c r="E18" s="15">
        <v>650552.43999999994</v>
      </c>
      <c r="F18" s="15">
        <v>407020</v>
      </c>
      <c r="G18" s="15">
        <v>321885</v>
      </c>
      <c r="H18" s="15">
        <v>355970</v>
      </c>
      <c r="I18" s="15">
        <v>408080</v>
      </c>
      <c r="J18" s="17">
        <v>482520</v>
      </c>
      <c r="K18" s="9"/>
      <c r="L18" s="9"/>
      <c r="M18" s="9"/>
      <c r="N18" s="9"/>
    </row>
    <row r="19" spans="1:14" ht="18" customHeight="1">
      <c r="A19" s="2" t="s">
        <v>11</v>
      </c>
      <c r="B19" s="14">
        <f t="shared" si="2"/>
        <v>316880</v>
      </c>
      <c r="C19" s="15">
        <v>40600</v>
      </c>
      <c r="D19" s="15">
        <v>38000</v>
      </c>
      <c r="E19" s="15">
        <v>38180</v>
      </c>
      <c r="F19" s="15">
        <v>40660</v>
      </c>
      <c r="G19" s="15">
        <v>38360</v>
      </c>
      <c r="H19" s="15">
        <v>38840</v>
      </c>
      <c r="I19" s="15">
        <v>40120</v>
      </c>
      <c r="J19" s="17">
        <v>42120</v>
      </c>
      <c r="K19" s="9"/>
      <c r="L19" s="9"/>
      <c r="M19" s="9"/>
      <c r="N19" s="9"/>
    </row>
    <row r="20" spans="1:14">
      <c r="A20" s="2" t="s">
        <v>12</v>
      </c>
      <c r="B20" s="14">
        <f t="shared" si="2"/>
        <v>5718965.2600000007</v>
      </c>
      <c r="C20" s="15">
        <v>711270.14</v>
      </c>
      <c r="D20" s="15">
        <v>795155.54</v>
      </c>
      <c r="E20" s="15">
        <v>699831.72</v>
      </c>
      <c r="F20" s="15">
        <v>537401.72</v>
      </c>
      <c r="G20" s="15">
        <v>558307.49</v>
      </c>
      <c r="H20" s="15">
        <v>734841.6</v>
      </c>
      <c r="I20" s="15">
        <v>916892.97</v>
      </c>
      <c r="J20" s="17">
        <v>765264.08</v>
      </c>
      <c r="K20" s="9"/>
      <c r="L20" s="9"/>
      <c r="M20" s="9"/>
      <c r="N20" s="9"/>
    </row>
    <row r="21" spans="1:14">
      <c r="A21" s="2" t="s">
        <v>13</v>
      </c>
      <c r="B21" s="14">
        <f t="shared" si="2"/>
        <v>1773212.1600000001</v>
      </c>
      <c r="C21" s="15">
        <v>689555.02</v>
      </c>
      <c r="D21" s="15">
        <v>760211.87</v>
      </c>
      <c r="E21" s="15">
        <v>43773.3</v>
      </c>
      <c r="F21" s="15">
        <v>32123.69</v>
      </c>
      <c r="G21" s="15">
        <v>117041.51</v>
      </c>
      <c r="H21" s="15">
        <v>67711</v>
      </c>
      <c r="I21" s="15">
        <v>62795.77</v>
      </c>
      <c r="J21" s="17">
        <v>0</v>
      </c>
      <c r="K21" s="9"/>
      <c r="L21" s="9"/>
      <c r="M21" s="9"/>
      <c r="N21" s="9"/>
    </row>
    <row r="22" spans="1:14" ht="60">
      <c r="A22" s="2" t="s">
        <v>14</v>
      </c>
      <c r="B22" s="14">
        <f t="shared" si="2"/>
        <v>4045145.92</v>
      </c>
      <c r="C22" s="15">
        <v>0</v>
      </c>
      <c r="D22" s="15">
        <v>477305.47</v>
      </c>
      <c r="E22" s="15">
        <v>5010.8599999999997</v>
      </c>
      <c r="F22" s="15">
        <v>72232.429999999993</v>
      </c>
      <c r="G22" s="15">
        <v>3722</v>
      </c>
      <c r="H22" s="15">
        <v>2888</v>
      </c>
      <c r="I22" s="15">
        <v>620590</v>
      </c>
      <c r="J22" s="17">
        <v>2863397.16</v>
      </c>
      <c r="K22" s="9"/>
      <c r="L22" s="19"/>
      <c r="M22" s="9"/>
      <c r="N22" s="9"/>
    </row>
    <row r="23" spans="1:14" ht="45">
      <c r="A23" s="2" t="s">
        <v>15</v>
      </c>
      <c r="B23" s="14">
        <f t="shared" si="2"/>
        <v>16850757.970000003</v>
      </c>
      <c r="C23" s="15">
        <f>3231324.86-3127710.98</f>
        <v>103613.87999999989</v>
      </c>
      <c r="D23" s="15">
        <f>3793713.95-2826053.17</f>
        <v>967660.78000000026</v>
      </c>
      <c r="E23" s="15">
        <f>3594992.23-3178410.86</f>
        <v>416581.37000000011</v>
      </c>
      <c r="F23" s="15">
        <f>7106406.38-3063962.43</f>
        <v>4042443.9499999997</v>
      </c>
      <c r="G23" s="15">
        <f>3841501.91-3143066.85</f>
        <v>698435.06</v>
      </c>
      <c r="H23" s="15">
        <f>5259297.22-3021087</f>
        <v>2238210.2199999997</v>
      </c>
      <c r="I23" s="15">
        <f>9958280.71-3074735</f>
        <v>6883545.7100000009</v>
      </c>
      <c r="J23" s="17">
        <f>4613048.86-3112781.86</f>
        <v>1500267.0000000005</v>
      </c>
      <c r="K23" s="9"/>
      <c r="L23" s="9"/>
      <c r="M23" s="9"/>
      <c r="N23" s="9"/>
    </row>
    <row r="24" spans="1:14" ht="45">
      <c r="A24" s="2" t="s">
        <v>38</v>
      </c>
      <c r="B24" s="14">
        <f t="shared" si="2"/>
        <v>24547808.149999999</v>
      </c>
      <c r="C24" s="15">
        <v>3127710.98</v>
      </c>
      <c r="D24" s="15">
        <v>2826053.17</v>
      </c>
      <c r="E24" s="15">
        <v>3178410.86</v>
      </c>
      <c r="F24" s="15">
        <v>3063962.43</v>
      </c>
      <c r="G24" s="15">
        <v>3143066.85</v>
      </c>
      <c r="H24" s="15">
        <v>3021087</v>
      </c>
      <c r="I24" s="15">
        <v>3074735</v>
      </c>
      <c r="J24" s="9">
        <v>3112781.86</v>
      </c>
      <c r="K24" s="9"/>
      <c r="L24" s="9"/>
      <c r="M24" s="9"/>
      <c r="N24" s="9"/>
    </row>
    <row r="25" spans="1:14">
      <c r="A25" s="33" t="s">
        <v>16</v>
      </c>
      <c r="B25" s="34">
        <f>SUM(C25:N25)</f>
        <v>122213621.5</v>
      </c>
      <c r="C25" s="35">
        <f>+C26+C27+C28+C29+C30+C31+C32+C33+C34</f>
        <v>4266775.6499999994</v>
      </c>
      <c r="D25" s="35">
        <f t="shared" ref="D25:N25" si="4">+D26+D27+D28+D29+D30+D31+D32+D33+D34</f>
        <v>6126898.9799999995</v>
      </c>
      <c r="E25" s="35">
        <f t="shared" si="4"/>
        <v>6017151.3099999996</v>
      </c>
      <c r="F25" s="35">
        <f t="shared" si="4"/>
        <v>75460009.450000003</v>
      </c>
      <c r="G25" s="35">
        <f t="shared" si="4"/>
        <v>2356645.63</v>
      </c>
      <c r="H25" s="35">
        <f t="shared" si="4"/>
        <v>13360778.98</v>
      </c>
      <c r="I25" s="35">
        <f t="shared" si="4"/>
        <v>6243979.9900000002</v>
      </c>
      <c r="J25" s="35">
        <f t="shared" si="4"/>
        <v>8381381.5099999998</v>
      </c>
      <c r="K25" s="35">
        <f t="shared" si="4"/>
        <v>0</v>
      </c>
      <c r="L25" s="35">
        <f t="shared" si="4"/>
        <v>0</v>
      </c>
      <c r="M25" s="35">
        <f t="shared" si="4"/>
        <v>0</v>
      </c>
      <c r="N25" s="35">
        <f t="shared" si="4"/>
        <v>0</v>
      </c>
    </row>
    <row r="26" spans="1:14" ht="30">
      <c r="A26" s="2" t="s">
        <v>17</v>
      </c>
      <c r="B26" s="14">
        <f t="shared" si="2"/>
        <v>2757657.03</v>
      </c>
      <c r="C26" s="15">
        <v>317278.40000000002</v>
      </c>
      <c r="D26" s="15">
        <v>11348</v>
      </c>
      <c r="E26" s="15">
        <v>208028.71</v>
      </c>
      <c r="F26" s="15">
        <v>1130443.9099999999</v>
      </c>
      <c r="G26" s="15">
        <v>0</v>
      </c>
      <c r="H26" s="15">
        <v>14971.65</v>
      </c>
      <c r="I26" s="15">
        <v>1055600.6000000001</v>
      </c>
      <c r="J26" s="17">
        <v>19985.759999999998</v>
      </c>
      <c r="K26" s="9"/>
      <c r="L26" s="9"/>
      <c r="M26" s="9"/>
      <c r="N26" s="9"/>
    </row>
    <row r="27" spans="1:14">
      <c r="A27" s="2" t="s">
        <v>18</v>
      </c>
      <c r="B27" s="14">
        <f t="shared" si="2"/>
        <v>2117704.7000000002</v>
      </c>
      <c r="C27" s="15">
        <v>10221.120000000001</v>
      </c>
      <c r="D27" s="15">
        <v>54924.24</v>
      </c>
      <c r="E27" s="15">
        <v>535214</v>
      </c>
      <c r="F27" s="15">
        <v>500774.03</v>
      </c>
      <c r="G27" s="15">
        <v>25308.95</v>
      </c>
      <c r="H27" s="15">
        <v>249570</v>
      </c>
      <c r="I27" s="15">
        <v>116230</v>
      </c>
      <c r="J27" s="20">
        <v>625462.36</v>
      </c>
      <c r="K27" s="9"/>
      <c r="L27" s="9"/>
      <c r="M27" s="9"/>
      <c r="N27" s="9"/>
    </row>
    <row r="28" spans="1:14" ht="30">
      <c r="A28" s="2" t="s">
        <v>19</v>
      </c>
      <c r="B28" s="14">
        <f t="shared" si="2"/>
        <v>1196936.22</v>
      </c>
      <c r="C28" s="15">
        <v>0</v>
      </c>
      <c r="D28" s="15">
        <v>175294.95</v>
      </c>
      <c r="E28" s="15">
        <v>282557.90000000002</v>
      </c>
      <c r="F28" s="15">
        <v>119770</v>
      </c>
      <c r="G28" s="15">
        <v>34988.79</v>
      </c>
      <c r="H28" s="15">
        <v>551515.69999999995</v>
      </c>
      <c r="I28" s="15">
        <v>21089.95</v>
      </c>
      <c r="J28" s="21">
        <v>11718.93</v>
      </c>
      <c r="K28" s="9"/>
      <c r="L28" s="15"/>
      <c r="M28" s="9"/>
      <c r="N28" s="9"/>
    </row>
    <row r="29" spans="1:14" ht="30">
      <c r="A29" s="2" t="s">
        <v>20</v>
      </c>
      <c r="B29" s="14">
        <f t="shared" si="2"/>
        <v>4503793.91</v>
      </c>
      <c r="C29" s="15">
        <v>3773.94</v>
      </c>
      <c r="D29" s="15">
        <v>1336332.44</v>
      </c>
      <c r="E29" s="15">
        <v>572</v>
      </c>
      <c r="F29" s="15">
        <v>0</v>
      </c>
      <c r="G29" s="15">
        <v>0</v>
      </c>
      <c r="H29" s="15">
        <v>0</v>
      </c>
      <c r="I29" s="15">
        <v>3163115.53</v>
      </c>
      <c r="J29" s="9">
        <v>0</v>
      </c>
      <c r="K29" s="9"/>
      <c r="L29" s="9"/>
      <c r="M29" s="9"/>
      <c r="N29" s="9"/>
    </row>
    <row r="30" spans="1:14" ht="30">
      <c r="A30" s="2" t="s">
        <v>21</v>
      </c>
      <c r="B30" s="14">
        <f t="shared" si="2"/>
        <v>2159441.61</v>
      </c>
      <c r="C30" s="15">
        <v>5598.08</v>
      </c>
      <c r="D30" s="15">
        <v>45492.79</v>
      </c>
      <c r="E30" s="15">
        <v>595382</v>
      </c>
      <c r="F30" s="15">
        <v>4923.8999999999996</v>
      </c>
      <c r="G30" s="15">
        <v>8127.19</v>
      </c>
      <c r="H30" s="15">
        <v>7572.41</v>
      </c>
      <c r="I30" s="15">
        <v>902909.38</v>
      </c>
      <c r="J30" s="20">
        <v>589435.86</v>
      </c>
      <c r="K30" s="9"/>
      <c r="L30" s="9"/>
      <c r="M30" s="9"/>
      <c r="N30" s="9"/>
    </row>
    <row r="31" spans="1:14" ht="45">
      <c r="A31" s="2" t="s">
        <v>22</v>
      </c>
      <c r="B31" s="14">
        <f t="shared" si="2"/>
        <v>1686739.97</v>
      </c>
      <c r="C31" s="15">
        <v>29622.61</v>
      </c>
      <c r="D31" s="15">
        <v>389394.5</v>
      </c>
      <c r="E31" s="15">
        <v>11769.7</v>
      </c>
      <c r="F31" s="15">
        <v>31064.26</v>
      </c>
      <c r="G31" s="15">
        <v>66639.72</v>
      </c>
      <c r="H31" s="15">
        <v>838083.07</v>
      </c>
      <c r="I31" s="15">
        <v>83335.08</v>
      </c>
      <c r="J31" s="20">
        <v>236831.03</v>
      </c>
      <c r="K31" s="9"/>
      <c r="L31" s="9"/>
      <c r="M31" s="9"/>
      <c r="N31" s="9"/>
    </row>
    <row r="32" spans="1:14" ht="45">
      <c r="A32" s="2" t="s">
        <v>23</v>
      </c>
      <c r="B32" s="14">
        <f t="shared" si="2"/>
        <v>31944539.720000003</v>
      </c>
      <c r="C32" s="15">
        <v>3543745.8</v>
      </c>
      <c r="D32" s="15">
        <v>3844480.42</v>
      </c>
      <c r="E32" s="15">
        <v>3854166.17</v>
      </c>
      <c r="F32" s="15">
        <v>3809582.23</v>
      </c>
      <c r="G32" s="15">
        <v>810036.59</v>
      </c>
      <c r="H32" s="15">
        <v>10463564.300000001</v>
      </c>
      <c r="I32" s="15">
        <v>590836.37</v>
      </c>
      <c r="J32" s="20">
        <v>5028127.84</v>
      </c>
      <c r="K32" s="9"/>
      <c r="L32" s="9"/>
      <c r="M32" s="9"/>
      <c r="N32" s="9"/>
    </row>
    <row r="33" spans="1:14" ht="60">
      <c r="A33" s="2" t="s">
        <v>39</v>
      </c>
      <c r="B33" s="14">
        <f t="shared" si="2"/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9">
        <v>0</v>
      </c>
      <c r="K33" s="9"/>
      <c r="L33" s="9"/>
      <c r="M33" s="9"/>
      <c r="N33" s="9"/>
    </row>
    <row r="34" spans="1:14" ht="32.25" customHeight="1">
      <c r="A34" s="2" t="s">
        <v>24</v>
      </c>
      <c r="B34" s="14">
        <f t="shared" si="2"/>
        <v>75846808.340000004</v>
      </c>
      <c r="C34" s="15">
        <v>356535.7</v>
      </c>
      <c r="D34" s="15">
        <v>269631.64</v>
      </c>
      <c r="E34" s="15">
        <v>529460.82999999996</v>
      </c>
      <c r="F34" s="15">
        <v>69863451.120000005</v>
      </c>
      <c r="G34" s="15">
        <v>1411544.39</v>
      </c>
      <c r="H34" s="15">
        <v>1235501.8500000001</v>
      </c>
      <c r="I34" s="15">
        <v>310863.08</v>
      </c>
      <c r="J34" s="17">
        <v>1869819.73</v>
      </c>
      <c r="K34" s="9"/>
      <c r="L34" s="9"/>
      <c r="M34" s="9"/>
      <c r="N34" s="9"/>
    </row>
    <row r="35" spans="1:14" ht="22.5" customHeight="1">
      <c r="A35" s="33" t="s">
        <v>25</v>
      </c>
      <c r="B35" s="34">
        <f>SUM(C35:N35)</f>
        <v>4207215.42</v>
      </c>
      <c r="C35" s="34">
        <f>+C36+C37+C38+C39+C40+C41+C42</f>
        <v>102225</v>
      </c>
      <c r="D35" s="34">
        <f t="shared" ref="D35:N35" si="5">+D36+D37+D38+D39+D40+D41+D42</f>
        <v>592030.78</v>
      </c>
      <c r="E35" s="34">
        <f t="shared" si="5"/>
        <v>924350.81</v>
      </c>
      <c r="F35" s="34">
        <f t="shared" si="5"/>
        <v>380360</v>
      </c>
      <c r="G35" s="34">
        <f t="shared" si="5"/>
        <v>198298.33</v>
      </c>
      <c r="H35" s="34">
        <f t="shared" si="5"/>
        <v>1109071.5</v>
      </c>
      <c r="I35" s="34">
        <f t="shared" si="5"/>
        <v>461339</v>
      </c>
      <c r="J35" s="34">
        <f t="shared" si="5"/>
        <v>439540</v>
      </c>
      <c r="K35" s="34">
        <f t="shared" si="5"/>
        <v>0</v>
      </c>
      <c r="L35" s="34">
        <f t="shared" si="5"/>
        <v>0</v>
      </c>
      <c r="M35" s="34">
        <f t="shared" si="5"/>
        <v>0</v>
      </c>
      <c r="N35" s="34">
        <f t="shared" si="5"/>
        <v>0</v>
      </c>
    </row>
    <row r="36" spans="1:14" ht="45">
      <c r="A36" s="2" t="s">
        <v>26</v>
      </c>
      <c r="B36" s="14">
        <f t="shared" si="2"/>
        <v>3955914.3600000003</v>
      </c>
      <c r="C36" s="15">
        <v>73000</v>
      </c>
      <c r="D36" s="15">
        <v>562880.78</v>
      </c>
      <c r="E36" s="15">
        <v>875224.75</v>
      </c>
      <c r="F36" s="15">
        <v>351560</v>
      </c>
      <c r="G36" s="15">
        <v>169548.33</v>
      </c>
      <c r="H36" s="15">
        <v>1080321.5</v>
      </c>
      <c r="I36" s="15">
        <v>432589</v>
      </c>
      <c r="J36" s="17">
        <v>410790</v>
      </c>
      <c r="K36" s="9"/>
      <c r="L36" s="9"/>
      <c r="M36" s="9"/>
      <c r="N36" s="9"/>
    </row>
    <row r="37" spans="1:14" ht="45">
      <c r="A37" s="2" t="s">
        <v>40</v>
      </c>
      <c r="B37" s="14">
        <f t="shared" si="2"/>
        <v>20076.060000000001</v>
      </c>
      <c r="C37" s="15">
        <v>0</v>
      </c>
      <c r="D37" s="15">
        <v>0</v>
      </c>
      <c r="E37" s="15">
        <v>20076.060000000001</v>
      </c>
      <c r="F37" s="15">
        <v>0</v>
      </c>
      <c r="G37" s="15">
        <v>0</v>
      </c>
      <c r="H37" s="15">
        <v>0</v>
      </c>
      <c r="I37" s="15">
        <v>0</v>
      </c>
      <c r="J37" s="9">
        <v>0</v>
      </c>
      <c r="K37" s="9"/>
      <c r="L37" s="9"/>
      <c r="M37" s="9"/>
      <c r="N37" s="9"/>
    </row>
    <row r="38" spans="1:14" ht="45">
      <c r="A38" s="2" t="s">
        <v>41</v>
      </c>
      <c r="B38" s="14">
        <f t="shared" si="2"/>
        <v>28750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28750</v>
      </c>
      <c r="J38" s="9">
        <v>0</v>
      </c>
      <c r="K38" s="9"/>
      <c r="L38" s="9"/>
      <c r="M38" s="9"/>
      <c r="N38" s="9"/>
    </row>
    <row r="39" spans="1:14" ht="45">
      <c r="A39" s="2" t="s">
        <v>42</v>
      </c>
      <c r="B39" s="14">
        <f t="shared" si="2"/>
        <v>202475</v>
      </c>
      <c r="C39" s="15">
        <v>29225</v>
      </c>
      <c r="D39" s="15">
        <v>29150</v>
      </c>
      <c r="E39" s="15">
        <v>29050</v>
      </c>
      <c r="F39" s="15">
        <v>28800</v>
      </c>
      <c r="G39" s="15">
        <v>28750</v>
      </c>
      <c r="H39" s="15">
        <v>28750</v>
      </c>
      <c r="I39" s="15">
        <v>0</v>
      </c>
      <c r="J39" s="14">
        <v>28750</v>
      </c>
      <c r="K39" s="15"/>
      <c r="L39" s="15"/>
      <c r="M39" s="15"/>
      <c r="N39" s="15"/>
    </row>
    <row r="40" spans="1:14" ht="45">
      <c r="A40" s="2" t="s">
        <v>43</v>
      </c>
      <c r="B40" s="14">
        <v>0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9">
        <v>0</v>
      </c>
      <c r="K40" s="9"/>
      <c r="L40" s="9"/>
      <c r="M40" s="9"/>
      <c r="N40" s="9"/>
    </row>
    <row r="41" spans="1:14" ht="45">
      <c r="A41" s="2" t="s">
        <v>27</v>
      </c>
      <c r="B41" s="14">
        <f t="shared" si="2"/>
        <v>0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9">
        <v>0</v>
      </c>
      <c r="K41" s="9"/>
      <c r="L41" s="9"/>
      <c r="M41" s="9"/>
      <c r="N41" s="9"/>
    </row>
    <row r="42" spans="1:14" ht="45">
      <c r="A42" s="2" t="s">
        <v>44</v>
      </c>
      <c r="B42" s="14">
        <f t="shared" si="2"/>
        <v>0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9">
        <v>0</v>
      </c>
      <c r="K42" s="9"/>
      <c r="L42" s="9"/>
      <c r="M42" s="9"/>
      <c r="N42" s="9"/>
    </row>
    <row r="43" spans="1:14" ht="30">
      <c r="A43" s="33" t="s">
        <v>45</v>
      </c>
      <c r="B43" s="34">
        <f>SUM(C43:N43)</f>
        <v>0</v>
      </c>
      <c r="C43" s="36">
        <f>+C44+C45+C46+C47+C48+C49+C50</f>
        <v>0</v>
      </c>
      <c r="D43" s="36">
        <f t="shared" ref="D43:N43" si="6">+D44+D45+D46+D47+D48+D49+D50</f>
        <v>0</v>
      </c>
      <c r="E43" s="36">
        <f t="shared" si="6"/>
        <v>0</v>
      </c>
      <c r="F43" s="36">
        <f>+F44+F45+F46+F47+F48+F49+F50</f>
        <v>0</v>
      </c>
      <c r="G43" s="36">
        <f t="shared" si="6"/>
        <v>0</v>
      </c>
      <c r="H43" s="36">
        <f t="shared" si="6"/>
        <v>0</v>
      </c>
      <c r="I43" s="36">
        <f t="shared" si="6"/>
        <v>0</v>
      </c>
      <c r="J43" s="36">
        <f t="shared" si="6"/>
        <v>0</v>
      </c>
      <c r="K43" s="36">
        <f t="shared" si="6"/>
        <v>0</v>
      </c>
      <c r="L43" s="36">
        <f t="shared" si="6"/>
        <v>0</v>
      </c>
      <c r="M43" s="36">
        <f t="shared" si="6"/>
        <v>0</v>
      </c>
      <c r="N43" s="36">
        <f t="shared" si="6"/>
        <v>0</v>
      </c>
    </row>
    <row r="44" spans="1:14" ht="30">
      <c r="A44" s="2" t="s">
        <v>46</v>
      </c>
      <c r="B44" s="14">
        <f t="shared" si="2"/>
        <v>0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9">
        <v>0</v>
      </c>
      <c r="K44" s="9"/>
      <c r="L44" s="9"/>
      <c r="M44" s="9"/>
      <c r="N44" s="9"/>
    </row>
    <row r="45" spans="1:14" ht="45">
      <c r="A45" s="2" t="s">
        <v>47</v>
      </c>
      <c r="B45" s="14">
        <f t="shared" si="2"/>
        <v>0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9">
        <v>0</v>
      </c>
      <c r="K45" s="9"/>
      <c r="L45" s="9"/>
      <c r="M45" s="9"/>
      <c r="N45" s="9"/>
    </row>
    <row r="46" spans="1:14" ht="45">
      <c r="A46" s="2" t="s">
        <v>48</v>
      </c>
      <c r="B46" s="14">
        <f t="shared" si="2"/>
        <v>0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9">
        <v>0</v>
      </c>
      <c r="K46" s="9"/>
      <c r="L46" s="9"/>
      <c r="M46" s="9"/>
      <c r="N46" s="9"/>
    </row>
    <row r="47" spans="1:14" ht="45">
      <c r="A47" s="2" t="s">
        <v>49</v>
      </c>
      <c r="B47" s="14">
        <f t="shared" si="2"/>
        <v>0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9">
        <v>0</v>
      </c>
      <c r="K47" s="9"/>
      <c r="L47" s="9"/>
      <c r="M47" s="9"/>
      <c r="N47" s="9"/>
    </row>
    <row r="48" spans="1:14" ht="45">
      <c r="A48" s="2" t="s">
        <v>50</v>
      </c>
      <c r="B48" s="14">
        <f t="shared" si="2"/>
        <v>0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9">
        <v>0</v>
      </c>
      <c r="K48" s="9"/>
      <c r="L48" s="9"/>
      <c r="M48" s="9"/>
      <c r="N48" s="9"/>
    </row>
    <row r="49" spans="1:14" ht="30">
      <c r="A49" s="2" t="s">
        <v>51</v>
      </c>
      <c r="B49" s="14">
        <f t="shared" si="2"/>
        <v>0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9">
        <v>0</v>
      </c>
      <c r="K49" s="9"/>
      <c r="L49" s="9"/>
      <c r="M49" s="9"/>
      <c r="N49" s="9"/>
    </row>
    <row r="50" spans="1:14" ht="45">
      <c r="A50" s="2" t="s">
        <v>52</v>
      </c>
      <c r="B50" s="14">
        <f t="shared" si="2"/>
        <v>0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9">
        <v>0</v>
      </c>
      <c r="K50" s="9"/>
      <c r="L50" s="9"/>
      <c r="M50" s="9"/>
      <c r="N50" s="9"/>
    </row>
    <row r="51" spans="1:14" ht="30">
      <c r="A51" s="33" t="s">
        <v>28</v>
      </c>
      <c r="B51" s="34">
        <f>SUM(C51:N51)</f>
        <v>115074621.16</v>
      </c>
      <c r="C51" s="34">
        <f>+C52+C53+C54+C55+C56+C57+C58+C59+C60</f>
        <v>0</v>
      </c>
      <c r="D51" s="34">
        <f t="shared" ref="D51:N51" si="7">+D52+D53+D54+D55+D56+D57+D58+D59+D60</f>
        <v>150756.79999999999</v>
      </c>
      <c r="E51" s="34">
        <f t="shared" si="7"/>
        <v>387118.51</v>
      </c>
      <c r="F51" s="34">
        <f t="shared" si="7"/>
        <v>441205.6</v>
      </c>
      <c r="G51" s="34">
        <f t="shared" si="7"/>
        <v>1164489.53</v>
      </c>
      <c r="H51" s="34">
        <f t="shared" si="7"/>
        <v>384100</v>
      </c>
      <c r="I51" s="34">
        <f t="shared" si="7"/>
        <v>107417729.45999999</v>
      </c>
      <c r="J51" s="34">
        <f t="shared" si="7"/>
        <v>5129221.26</v>
      </c>
      <c r="K51" s="34">
        <f t="shared" si="7"/>
        <v>0</v>
      </c>
      <c r="L51" s="34">
        <f t="shared" si="7"/>
        <v>0</v>
      </c>
      <c r="M51" s="34">
        <f t="shared" si="7"/>
        <v>0</v>
      </c>
      <c r="N51" s="34">
        <f t="shared" si="7"/>
        <v>0</v>
      </c>
    </row>
    <row r="52" spans="1:14">
      <c r="A52" s="2" t="s">
        <v>29</v>
      </c>
      <c r="B52" s="14">
        <f t="shared" si="2"/>
        <v>7656891.6999999993</v>
      </c>
      <c r="C52" s="15">
        <v>0</v>
      </c>
      <c r="D52" s="15">
        <v>150756.79999999999</v>
      </c>
      <c r="E52" s="15">
        <v>387118.51</v>
      </c>
      <c r="F52" s="15">
        <v>441205.6</v>
      </c>
      <c r="G52" s="15">
        <v>1164489.53</v>
      </c>
      <c r="H52" s="15">
        <v>384100</v>
      </c>
      <c r="I52" s="15">
        <v>0</v>
      </c>
      <c r="J52" s="14">
        <v>5129221.26</v>
      </c>
      <c r="K52" s="9"/>
      <c r="L52" s="9"/>
      <c r="M52" s="9"/>
      <c r="N52" s="9"/>
    </row>
    <row r="53" spans="1:14" ht="30">
      <c r="A53" s="2" t="s">
        <v>30</v>
      </c>
      <c r="B53" s="14">
        <f t="shared" si="2"/>
        <v>0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22">
        <v>0</v>
      </c>
      <c r="K53" s="9"/>
      <c r="L53" s="9"/>
      <c r="M53" s="9"/>
      <c r="N53" s="9"/>
    </row>
    <row r="54" spans="1:14" ht="45">
      <c r="A54" s="2" t="s">
        <v>31</v>
      </c>
      <c r="B54" s="14">
        <f t="shared" si="2"/>
        <v>0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9">
        <v>0</v>
      </c>
      <c r="J54" s="9">
        <v>0</v>
      </c>
      <c r="K54" s="9"/>
      <c r="L54" s="9"/>
      <c r="M54" s="9"/>
      <c r="N54" s="9"/>
    </row>
    <row r="55" spans="1:14" ht="45">
      <c r="A55" s="2" t="s">
        <v>32</v>
      </c>
      <c r="B55" s="14">
        <f t="shared" si="2"/>
        <v>0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9">
        <v>0</v>
      </c>
      <c r="J55" s="9">
        <v>0</v>
      </c>
      <c r="K55" s="9"/>
      <c r="L55" s="9"/>
      <c r="M55" s="9"/>
      <c r="N55" s="9"/>
    </row>
    <row r="56" spans="1:14" ht="30">
      <c r="A56" s="2" t="s">
        <v>33</v>
      </c>
      <c r="B56" s="14">
        <f t="shared" si="2"/>
        <v>0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9">
        <v>0</v>
      </c>
      <c r="J56" s="9">
        <v>0</v>
      </c>
      <c r="K56" s="9"/>
      <c r="L56" s="9"/>
      <c r="M56" s="9"/>
      <c r="N56" s="9"/>
    </row>
    <row r="57" spans="1:14" ht="30">
      <c r="A57" s="2" t="s">
        <v>53</v>
      </c>
      <c r="B57" s="14">
        <f t="shared" si="2"/>
        <v>0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9">
        <v>0</v>
      </c>
      <c r="J57" s="9">
        <v>0</v>
      </c>
      <c r="K57" s="9"/>
      <c r="L57" s="9"/>
      <c r="M57" s="9"/>
      <c r="N57" s="9"/>
    </row>
    <row r="58" spans="1:14" ht="30">
      <c r="A58" s="2" t="s">
        <v>54</v>
      </c>
      <c r="B58" s="14">
        <f t="shared" si="2"/>
        <v>0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9">
        <v>0</v>
      </c>
      <c r="K58" s="9"/>
      <c r="L58" s="9"/>
      <c r="M58" s="9"/>
      <c r="N58" s="9"/>
    </row>
    <row r="59" spans="1:14">
      <c r="A59" s="2" t="s">
        <v>34</v>
      </c>
      <c r="B59" s="14">
        <f t="shared" si="2"/>
        <v>107417729.45999999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107417729.45999999</v>
      </c>
      <c r="J59" s="9">
        <v>0</v>
      </c>
      <c r="K59" s="9"/>
      <c r="L59" s="9"/>
      <c r="M59" s="9"/>
      <c r="N59" s="9"/>
    </row>
    <row r="60" spans="1:14" ht="60">
      <c r="A60" s="2" t="s">
        <v>55</v>
      </c>
      <c r="B60" s="14">
        <f t="shared" si="2"/>
        <v>0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9">
        <v>0</v>
      </c>
      <c r="K60" s="9"/>
      <c r="L60" s="9"/>
      <c r="M60" s="9"/>
      <c r="N60" s="9"/>
    </row>
    <row r="61" spans="1:14">
      <c r="A61" s="33" t="s">
        <v>56</v>
      </c>
      <c r="B61" s="34">
        <f>SUM(D61:N61)</f>
        <v>9988283.6799999997</v>
      </c>
      <c r="C61" s="45"/>
      <c r="D61" s="36">
        <f>+D62+D64+D65+D63</f>
        <v>1816347.1</v>
      </c>
      <c r="E61" s="36">
        <f>+E62+E64+E65+E63</f>
        <v>1084024.52</v>
      </c>
      <c r="F61" s="38">
        <f>+F62+F63+F64+F65</f>
        <v>829456.32</v>
      </c>
      <c r="G61" s="34">
        <f>+G62+G64+G63+G65</f>
        <v>1582528.73</v>
      </c>
      <c r="H61" s="34">
        <f>+H62+H64+H63+H65</f>
        <v>848096.66</v>
      </c>
      <c r="I61" s="34">
        <f>+I62+I64+I63+I65</f>
        <v>999179.87</v>
      </c>
      <c r="J61" s="34">
        <f>+J62+J64+J63+J65</f>
        <v>2828650.48</v>
      </c>
      <c r="K61" s="37"/>
      <c r="L61" s="44"/>
      <c r="M61" s="37"/>
      <c r="N61" s="37"/>
    </row>
    <row r="62" spans="1:14" ht="30">
      <c r="A62" s="2" t="s">
        <v>57</v>
      </c>
      <c r="B62" s="14">
        <f t="shared" si="2"/>
        <v>11138416.57</v>
      </c>
      <c r="C62" s="15">
        <v>1150132.8899999999</v>
      </c>
      <c r="D62" s="15">
        <v>1816347.1</v>
      </c>
      <c r="E62" s="15">
        <v>1084024.52</v>
      </c>
      <c r="F62" s="15">
        <v>829456.32</v>
      </c>
      <c r="G62" s="15">
        <v>1582528.73</v>
      </c>
      <c r="H62" s="15">
        <v>848096.66</v>
      </c>
      <c r="I62" s="15">
        <v>999179.87</v>
      </c>
      <c r="J62" s="9">
        <v>2828650.48</v>
      </c>
      <c r="K62" s="9"/>
      <c r="L62" s="9"/>
      <c r="M62" s="9"/>
      <c r="N62" s="9"/>
    </row>
    <row r="63" spans="1:14">
      <c r="A63" s="2" t="s">
        <v>58</v>
      </c>
      <c r="B63" s="14">
        <f t="shared" si="2"/>
        <v>0</v>
      </c>
      <c r="C63" s="15">
        <v>0</v>
      </c>
      <c r="D63" s="15">
        <v>0</v>
      </c>
      <c r="E63" s="15">
        <v>0</v>
      </c>
      <c r="F63" s="15">
        <v>0</v>
      </c>
      <c r="G63" s="15"/>
      <c r="H63" s="15">
        <v>0</v>
      </c>
      <c r="I63" s="15">
        <v>0</v>
      </c>
      <c r="J63" s="9">
        <v>0</v>
      </c>
      <c r="K63" s="9"/>
      <c r="L63" s="9"/>
      <c r="M63" s="9"/>
      <c r="N63" s="9"/>
    </row>
    <row r="64" spans="1:14" ht="30">
      <c r="A64" s="2" t="s">
        <v>59</v>
      </c>
      <c r="B64" s="14">
        <f t="shared" si="2"/>
        <v>0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9">
        <v>0</v>
      </c>
      <c r="K64" s="9"/>
      <c r="L64" s="9"/>
      <c r="M64" s="9"/>
      <c r="N64" s="9"/>
    </row>
    <row r="65" spans="1:14" ht="60">
      <c r="A65" s="2" t="s">
        <v>60</v>
      </c>
      <c r="B65" s="14">
        <f t="shared" si="2"/>
        <v>0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9">
        <v>0</v>
      </c>
      <c r="K65" s="9"/>
      <c r="L65" s="9"/>
      <c r="M65" s="9"/>
      <c r="N65" s="9"/>
    </row>
    <row r="66" spans="1:14" ht="45">
      <c r="A66" s="33" t="s">
        <v>61</v>
      </c>
      <c r="B66" s="34">
        <f>SUM(C66:N66)</f>
        <v>1120000</v>
      </c>
      <c r="C66" s="35">
        <f>+C67+C68+C69</f>
        <v>160000</v>
      </c>
      <c r="D66" s="35">
        <f t="shared" ref="D66:N66" si="8">+D67+D68+D69</f>
        <v>160000</v>
      </c>
      <c r="E66" s="35">
        <f t="shared" si="8"/>
        <v>160000</v>
      </c>
      <c r="F66" s="35">
        <f t="shared" si="8"/>
        <v>160000</v>
      </c>
      <c r="G66" s="35">
        <f t="shared" si="8"/>
        <v>160000</v>
      </c>
      <c r="H66" s="35">
        <f t="shared" si="8"/>
        <v>160000</v>
      </c>
      <c r="I66" s="35">
        <f t="shared" si="8"/>
        <v>160000</v>
      </c>
      <c r="J66" s="35">
        <f t="shared" si="8"/>
        <v>0</v>
      </c>
      <c r="K66" s="35">
        <f t="shared" si="8"/>
        <v>0</v>
      </c>
      <c r="L66" s="35">
        <f t="shared" si="8"/>
        <v>0</v>
      </c>
      <c r="M66" s="35">
        <f t="shared" si="8"/>
        <v>0</v>
      </c>
      <c r="N66" s="35">
        <f t="shared" si="8"/>
        <v>0</v>
      </c>
    </row>
    <row r="67" spans="1:14" ht="30">
      <c r="A67" s="2" t="s">
        <v>62</v>
      </c>
      <c r="B67" s="14">
        <f t="shared" si="2"/>
        <v>0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9">
        <v>0</v>
      </c>
      <c r="K67" s="9"/>
      <c r="L67" s="9"/>
      <c r="M67" s="9"/>
      <c r="N67" s="9"/>
    </row>
    <row r="68" spans="1:14" ht="45">
      <c r="A68" s="2" t="s">
        <v>63</v>
      </c>
      <c r="B68" s="14">
        <f t="shared" ref="B68" si="9">SUM(C68:N68)</f>
        <v>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9">
        <v>0</v>
      </c>
      <c r="K68" s="9"/>
      <c r="L68" s="9"/>
      <c r="M68" s="9"/>
      <c r="N68" s="9"/>
    </row>
    <row r="69" spans="1:14" ht="30">
      <c r="A69" s="2" t="s">
        <v>104</v>
      </c>
      <c r="B69" s="14">
        <f t="shared" si="2"/>
        <v>1120000</v>
      </c>
      <c r="C69" s="15">
        <v>160000</v>
      </c>
      <c r="D69" s="15">
        <v>160000</v>
      </c>
      <c r="E69" s="15">
        <v>160000</v>
      </c>
      <c r="F69" s="15">
        <v>160000</v>
      </c>
      <c r="G69" s="15">
        <v>160000</v>
      </c>
      <c r="H69" s="15">
        <v>160000</v>
      </c>
      <c r="I69" s="15">
        <v>160000</v>
      </c>
      <c r="J69" s="9">
        <v>0</v>
      </c>
      <c r="K69" s="9"/>
      <c r="L69" s="9"/>
      <c r="M69" s="9"/>
      <c r="N69" s="9"/>
    </row>
    <row r="70" spans="1:14">
      <c r="A70" s="33" t="s">
        <v>64</v>
      </c>
      <c r="B70" s="44">
        <f t="shared" si="2"/>
        <v>14228.92</v>
      </c>
      <c r="C70" s="38">
        <f>+C71+C72+C73</f>
        <v>0</v>
      </c>
      <c r="D70" s="36">
        <f>+D71+D72+D73</f>
        <v>5000</v>
      </c>
      <c r="E70" s="36">
        <f>+E71+E72+E73</f>
        <v>0</v>
      </c>
      <c r="F70" s="36">
        <f t="shared" ref="F70:I70" si="10">+F71+F72+F73</f>
        <v>0</v>
      </c>
      <c r="G70" s="36">
        <f t="shared" si="10"/>
        <v>0</v>
      </c>
      <c r="H70" s="36">
        <f t="shared" si="10"/>
        <v>9228.92</v>
      </c>
      <c r="I70" s="36">
        <f t="shared" si="10"/>
        <v>0</v>
      </c>
      <c r="J70" s="37"/>
      <c r="K70" s="37"/>
      <c r="L70" s="37"/>
      <c r="M70" s="37"/>
      <c r="N70" s="37"/>
    </row>
    <row r="71" spans="1:14" ht="30">
      <c r="A71" s="2" t="s">
        <v>65</v>
      </c>
      <c r="B71" s="14">
        <f t="shared" si="2"/>
        <v>0</v>
      </c>
      <c r="C71" s="15"/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3">
        <v>0</v>
      </c>
      <c r="J71" s="9">
        <v>0</v>
      </c>
      <c r="K71" s="9"/>
      <c r="L71" s="9"/>
      <c r="M71" s="9"/>
      <c r="N71" s="9"/>
    </row>
    <row r="72" spans="1:14" ht="30">
      <c r="A72" s="2" t="s">
        <v>66</v>
      </c>
      <c r="B72" s="14">
        <f t="shared" si="2"/>
        <v>0</v>
      </c>
      <c r="C72" s="15"/>
      <c r="D72" s="15">
        <v>0</v>
      </c>
      <c r="E72" s="15">
        <v>0</v>
      </c>
      <c r="F72" s="15">
        <v>0</v>
      </c>
      <c r="G72" s="15">
        <v>0</v>
      </c>
      <c r="H72" s="15">
        <v>0</v>
      </c>
      <c r="I72" s="15">
        <v>0</v>
      </c>
      <c r="J72" s="9">
        <v>0</v>
      </c>
      <c r="K72" s="9"/>
      <c r="L72" s="9"/>
      <c r="M72" s="9"/>
      <c r="N72" s="9"/>
    </row>
    <row r="73" spans="1:14" ht="45">
      <c r="A73" s="2" t="s">
        <v>67</v>
      </c>
      <c r="B73" s="14">
        <f t="shared" si="2"/>
        <v>14228.92</v>
      </c>
      <c r="C73" s="15"/>
      <c r="D73" s="15">
        <v>5000</v>
      </c>
      <c r="E73" s="15">
        <v>0</v>
      </c>
      <c r="F73" s="15">
        <v>0</v>
      </c>
      <c r="G73" s="15">
        <v>0</v>
      </c>
      <c r="H73" s="15">
        <v>9228.92</v>
      </c>
      <c r="I73" s="15">
        <v>0</v>
      </c>
      <c r="J73" s="9">
        <v>0</v>
      </c>
      <c r="K73" s="9"/>
      <c r="L73" s="9"/>
      <c r="M73" s="9"/>
      <c r="N73" s="9"/>
    </row>
    <row r="74" spans="1:14">
      <c r="A74" s="25" t="s">
        <v>35</v>
      </c>
      <c r="B74" s="26">
        <f>SUM(C74:N74)</f>
        <v>1072690639.4900001</v>
      </c>
      <c r="C74" s="27">
        <f>+C70+C66+D61+C51+C43+C35+C25+C15+C9</f>
        <v>103309563.89</v>
      </c>
      <c r="D74" s="27">
        <f t="shared" ref="D74:I74" si="11">+D70+D66+D61+D51+D43+D35+D25+D15+D9</f>
        <v>106360029.14</v>
      </c>
      <c r="E74" s="27">
        <f t="shared" si="11"/>
        <v>105698591.65000001</v>
      </c>
      <c r="F74" s="27">
        <f t="shared" si="11"/>
        <v>183172207.23000002</v>
      </c>
      <c r="G74" s="27">
        <f t="shared" si="11"/>
        <v>107256474.51999998</v>
      </c>
      <c r="H74" s="27">
        <f t="shared" si="11"/>
        <v>119252183.69999999</v>
      </c>
      <c r="I74" s="27">
        <f t="shared" si="11"/>
        <v>223831179.65000001</v>
      </c>
      <c r="J74" s="27">
        <f t="shared" ref="J74:N74" si="12">+J70+J66+J61+J51+J43+J35+J25+J15+J9</f>
        <v>123810409.71000001</v>
      </c>
      <c r="K74" s="27">
        <f t="shared" si="12"/>
        <v>0</v>
      </c>
      <c r="L74" s="27">
        <f t="shared" si="12"/>
        <v>0</v>
      </c>
      <c r="M74" s="27">
        <f t="shared" si="12"/>
        <v>0</v>
      </c>
      <c r="N74" s="27">
        <f t="shared" si="12"/>
        <v>0</v>
      </c>
    </row>
    <row r="75" spans="1:14" ht="10.5" customHeight="1">
      <c r="A75" s="28"/>
      <c r="B75" s="29"/>
      <c r="C75" s="15"/>
      <c r="D75" s="15"/>
      <c r="E75" s="15"/>
      <c r="F75" s="15"/>
      <c r="G75" s="15"/>
      <c r="H75" s="15"/>
      <c r="I75" s="15"/>
      <c r="J75" s="30"/>
      <c r="K75" s="30"/>
      <c r="L75" s="30"/>
      <c r="M75" s="30"/>
      <c r="N75" s="30"/>
    </row>
    <row r="76" spans="1:14">
      <c r="A76" s="39" t="s">
        <v>68</v>
      </c>
      <c r="B76" s="40"/>
      <c r="C76" s="38"/>
      <c r="D76" s="38"/>
      <c r="E76" s="38"/>
      <c r="F76" s="38"/>
      <c r="G76" s="38"/>
      <c r="H76" s="38"/>
      <c r="I76" s="38"/>
      <c r="J76" s="41"/>
      <c r="K76" s="41"/>
      <c r="L76" s="41"/>
      <c r="M76" s="41"/>
      <c r="N76" s="41"/>
    </row>
    <row r="77" spans="1:14" ht="30">
      <c r="A77" s="39" t="s">
        <v>69</v>
      </c>
      <c r="B77" s="42">
        <f t="shared" ref="B77" si="13">SUM(C77:N77)</f>
        <v>0</v>
      </c>
      <c r="C77" s="36"/>
      <c r="D77" s="36"/>
      <c r="E77" s="36"/>
      <c r="F77" s="38"/>
      <c r="G77" s="38"/>
      <c r="H77" s="38"/>
      <c r="I77" s="38"/>
      <c r="J77" s="43"/>
      <c r="K77" s="43"/>
      <c r="L77" s="43"/>
      <c r="M77" s="43"/>
      <c r="N77" s="43"/>
    </row>
    <row r="78" spans="1:14" ht="45">
      <c r="A78" s="31" t="s">
        <v>70</v>
      </c>
      <c r="B78" s="29">
        <f t="shared" ref="B78:B84" si="14">SUM(C78:N78)</f>
        <v>0</v>
      </c>
      <c r="C78" s="15"/>
      <c r="D78" s="15">
        <v>0</v>
      </c>
      <c r="E78" s="15">
        <v>0</v>
      </c>
      <c r="F78" s="15">
        <v>0</v>
      </c>
      <c r="G78" s="15">
        <v>0</v>
      </c>
      <c r="H78" s="15">
        <v>0</v>
      </c>
      <c r="I78" s="15">
        <v>0</v>
      </c>
      <c r="J78" s="30"/>
      <c r="K78" s="30"/>
      <c r="L78" s="30"/>
      <c r="M78" s="30"/>
      <c r="N78" s="30"/>
    </row>
    <row r="79" spans="1:14" ht="45">
      <c r="A79" s="31" t="s">
        <v>71</v>
      </c>
      <c r="B79" s="29">
        <f t="shared" si="14"/>
        <v>0</v>
      </c>
      <c r="C79" s="15"/>
      <c r="D79" s="15">
        <v>0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30"/>
      <c r="K79" s="30"/>
      <c r="L79" s="30"/>
      <c r="M79" s="30"/>
      <c r="N79" s="30"/>
    </row>
    <row r="80" spans="1:14">
      <c r="A80" s="39" t="s">
        <v>72</v>
      </c>
      <c r="B80" s="42">
        <f t="shared" si="14"/>
        <v>0</v>
      </c>
      <c r="C80" s="38"/>
      <c r="D80" s="38"/>
      <c r="E80" s="38"/>
      <c r="F80" s="38"/>
      <c r="G80" s="38"/>
      <c r="H80" s="38"/>
      <c r="I80" s="38"/>
      <c r="J80" s="43"/>
      <c r="K80" s="43"/>
      <c r="L80" s="43"/>
      <c r="M80" s="43"/>
      <c r="N80" s="43"/>
    </row>
    <row r="81" spans="1:14" ht="30">
      <c r="A81" s="31" t="s">
        <v>73</v>
      </c>
      <c r="B81" s="29">
        <f t="shared" si="14"/>
        <v>0</v>
      </c>
      <c r="C81" s="15"/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30">
        <v>0</v>
      </c>
      <c r="J81" s="30"/>
      <c r="K81" s="30"/>
      <c r="L81" s="30"/>
      <c r="M81" s="30"/>
      <c r="N81" s="30"/>
    </row>
    <row r="82" spans="1:14" ht="30">
      <c r="A82" s="31" t="s">
        <v>74</v>
      </c>
      <c r="B82" s="29">
        <f t="shared" si="14"/>
        <v>0</v>
      </c>
      <c r="C82" s="15"/>
      <c r="D82" s="15">
        <v>0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30"/>
      <c r="K82" s="30"/>
      <c r="L82" s="30"/>
      <c r="M82" s="30"/>
      <c r="N82" s="30"/>
    </row>
    <row r="83" spans="1:14" ht="30">
      <c r="A83" s="39" t="s">
        <v>75</v>
      </c>
      <c r="B83" s="42">
        <f t="shared" si="14"/>
        <v>0</v>
      </c>
      <c r="C83" s="38"/>
      <c r="D83" s="38"/>
      <c r="E83" s="38"/>
      <c r="F83" s="38"/>
      <c r="G83" s="38"/>
      <c r="H83" s="38"/>
      <c r="I83" s="38"/>
      <c r="J83" s="43"/>
      <c r="K83" s="43"/>
      <c r="L83" s="43"/>
      <c r="M83" s="43"/>
      <c r="N83" s="43"/>
    </row>
    <row r="84" spans="1:14" ht="45">
      <c r="A84" s="2" t="s">
        <v>76</v>
      </c>
      <c r="B84" s="14">
        <f t="shared" si="14"/>
        <v>0</v>
      </c>
      <c r="C84" s="16"/>
      <c r="D84" s="16">
        <v>0</v>
      </c>
      <c r="E84" s="16">
        <v>0</v>
      </c>
      <c r="F84" s="15">
        <v>0</v>
      </c>
      <c r="G84" s="15">
        <v>0</v>
      </c>
      <c r="H84" s="15">
        <v>0</v>
      </c>
      <c r="I84" s="15">
        <v>0</v>
      </c>
      <c r="J84" s="9"/>
      <c r="K84" s="9"/>
      <c r="L84" s="9"/>
      <c r="M84" s="9"/>
      <c r="N84" s="9"/>
    </row>
    <row r="85" spans="1:14" ht="30">
      <c r="A85" s="24" t="s">
        <v>77</v>
      </c>
      <c r="B85" s="32">
        <f>+B77+B80+B83+B84</f>
        <v>0</v>
      </c>
      <c r="C85" s="32">
        <f t="shared" ref="C85:I85" si="15">+C83+C80+C77</f>
        <v>0</v>
      </c>
      <c r="D85" s="32">
        <f t="shared" si="15"/>
        <v>0</v>
      </c>
      <c r="E85" s="32">
        <f t="shared" si="15"/>
        <v>0</v>
      </c>
      <c r="F85" s="32">
        <f t="shared" si="15"/>
        <v>0</v>
      </c>
      <c r="G85" s="32">
        <f t="shared" si="15"/>
        <v>0</v>
      </c>
      <c r="H85" s="32">
        <f t="shared" si="15"/>
        <v>0</v>
      </c>
      <c r="I85" s="32">
        <f t="shared" si="15"/>
        <v>0</v>
      </c>
      <c r="J85" s="32"/>
      <c r="K85" s="32"/>
      <c r="L85" s="32"/>
      <c r="M85" s="32"/>
      <c r="N85" s="32"/>
    </row>
    <row r="86" spans="1:14" ht="9.75" customHeight="1">
      <c r="B86" s="10">
        <f t="shared" ref="B86" si="16">SUM(C86:H86)</f>
        <v>0</v>
      </c>
      <c r="C86" s="9"/>
      <c r="D86" s="9"/>
      <c r="E86" s="9"/>
      <c r="F86" s="9"/>
      <c r="G86" s="9"/>
      <c r="I86" s="9"/>
      <c r="J86" s="9"/>
      <c r="K86" s="9"/>
      <c r="L86" s="9"/>
      <c r="M86" s="9"/>
      <c r="N86" s="9"/>
    </row>
    <row r="87" spans="1:14" ht="31.5">
      <c r="A87" s="4" t="s">
        <v>78</v>
      </c>
      <c r="B87" s="23">
        <f>SUM(C87:N87)</f>
        <v>1072690639.4900001</v>
      </c>
      <c r="C87" s="23">
        <f t="shared" ref="C87:J87" si="17">+C85+C74</f>
        <v>103309563.89</v>
      </c>
      <c r="D87" s="23">
        <f t="shared" si="17"/>
        <v>106360029.14</v>
      </c>
      <c r="E87" s="23">
        <f t="shared" si="17"/>
        <v>105698591.65000001</v>
      </c>
      <c r="F87" s="23">
        <f t="shared" si="17"/>
        <v>183172207.23000002</v>
      </c>
      <c r="G87" s="23">
        <f t="shared" si="17"/>
        <v>107256474.51999998</v>
      </c>
      <c r="H87" s="23">
        <f>+H85+H74</f>
        <v>119252183.69999999</v>
      </c>
      <c r="I87" s="23">
        <f t="shared" si="17"/>
        <v>223831179.65000001</v>
      </c>
      <c r="J87" s="23">
        <f t="shared" si="17"/>
        <v>123810409.71000001</v>
      </c>
      <c r="K87" s="23"/>
      <c r="L87" s="23"/>
      <c r="M87" s="23"/>
      <c r="N87" s="23"/>
    </row>
    <row r="91" spans="1:14">
      <c r="F91" s="9"/>
      <c r="K91" s="9"/>
    </row>
    <row r="92" spans="1:14">
      <c r="K92" s="12"/>
    </row>
    <row r="93" spans="1:14">
      <c r="F93" s="12"/>
    </row>
    <row r="95" spans="1:14">
      <c r="A95" t="s">
        <v>99</v>
      </c>
    </row>
    <row r="96" spans="1:14">
      <c r="A96" t="s">
        <v>97</v>
      </c>
    </row>
    <row r="97" spans="1:3">
      <c r="A97" t="s">
        <v>98</v>
      </c>
    </row>
    <row r="100" spans="1:3">
      <c r="C100" s="9"/>
    </row>
    <row r="102" spans="1:3">
      <c r="C102" s="12"/>
    </row>
  </sheetData>
  <mergeCells count="5">
    <mergeCell ref="A1:N1"/>
    <mergeCell ref="A2:N2"/>
    <mergeCell ref="A3:N3"/>
    <mergeCell ref="A4:N4"/>
    <mergeCell ref="A5:N5"/>
  </mergeCells>
  <pageMargins left="0.6" right="0.17" top="0.23" bottom="0.55118110236220474" header="0.17" footer="0.38"/>
  <pageSetup paperSize="9" scale="6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+</cp:lastModifiedBy>
  <cp:lastPrinted>2021-09-04T15:42:02Z</cp:lastPrinted>
  <dcterms:created xsi:type="dcterms:W3CDTF">2018-04-17T18:57:16Z</dcterms:created>
  <dcterms:modified xsi:type="dcterms:W3CDTF">2021-09-13T12:05:03Z</dcterms:modified>
</cp:coreProperties>
</file>