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  <sheet name="Hoja1" sheetId="4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2"/>
  <c r="C38"/>
  <c r="C28"/>
  <c r="C26"/>
  <c r="C17"/>
  <c r="C15"/>
  <c r="C12" s="1"/>
  <c r="C14"/>
  <c r="C13"/>
  <c r="E3" i="4"/>
  <c r="E9"/>
  <c r="E10"/>
  <c r="E11"/>
  <c r="E12"/>
  <c r="E13"/>
  <c r="E14"/>
  <c r="E15"/>
  <c r="E16"/>
  <c r="E17"/>
  <c r="E18"/>
  <c r="E19"/>
  <c r="E20"/>
  <c r="E21"/>
  <c r="E22"/>
  <c r="E23"/>
  <c r="E25"/>
  <c r="E26"/>
  <c r="E27"/>
  <c r="E28"/>
  <c r="E29"/>
  <c r="E30"/>
  <c r="E31"/>
  <c r="E32"/>
  <c r="E33"/>
  <c r="E34"/>
  <c r="E35"/>
  <c r="E36"/>
  <c r="E37"/>
  <c r="E38"/>
  <c r="E39"/>
  <c r="E40"/>
  <c r="E41"/>
  <c r="E43"/>
  <c r="E44"/>
  <c r="E45"/>
  <c r="E46"/>
  <c r="E47"/>
  <c r="E48"/>
  <c r="E49"/>
  <c r="E50"/>
  <c r="E51"/>
  <c r="E52"/>
  <c r="E53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1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6"/>
  <c r="E127"/>
  <c r="E128"/>
  <c r="E129"/>
  <c r="E130"/>
  <c r="E131"/>
  <c r="E132"/>
  <c r="E133"/>
  <c r="E134"/>
  <c r="E135"/>
  <c r="E136"/>
  <c r="E137"/>
  <c r="E139"/>
  <c r="E140"/>
  <c r="E142"/>
  <c r="E143"/>
  <c r="E144"/>
  <c r="E145"/>
  <c r="E146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7"/>
  <c r="E168"/>
  <c r="E169"/>
  <c r="E170"/>
  <c r="E171"/>
  <c r="E172"/>
  <c r="E178"/>
  <c r="E179"/>
  <c r="E180"/>
  <c r="E181"/>
  <c r="E182"/>
  <c r="E183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6"/>
  <c r="E7"/>
  <c r="E8"/>
  <c r="E5"/>
  <c r="E4"/>
  <c r="D218"/>
  <c r="D220" s="1"/>
  <c r="C218"/>
  <c r="C217"/>
  <c r="D216"/>
  <c r="C216"/>
  <c r="C215"/>
  <c r="C214" s="1"/>
  <c r="D214"/>
  <c r="C209"/>
  <c r="C208"/>
  <c r="C193"/>
  <c r="C192"/>
  <c r="C191"/>
  <c r="C190"/>
  <c r="C189" s="1"/>
  <c r="D189"/>
  <c r="C188"/>
  <c r="C187" s="1"/>
  <c r="D187"/>
  <c r="C183"/>
  <c r="D182"/>
  <c r="C182"/>
  <c r="C181"/>
  <c r="C180"/>
  <c r="C179"/>
  <c r="C167" s="1"/>
  <c r="C172"/>
  <c r="C171"/>
  <c r="C168"/>
  <c r="D167"/>
  <c r="C164"/>
  <c r="C160"/>
  <c r="C159"/>
  <c r="C158"/>
  <c r="C157"/>
  <c r="C155"/>
  <c r="C154"/>
  <c r="C153" s="1"/>
  <c r="D153"/>
  <c r="C152"/>
  <c r="C150"/>
  <c r="C149"/>
  <c r="C146"/>
  <c r="C143"/>
  <c r="C140"/>
  <c r="C137"/>
  <c r="C135"/>
  <c r="D133"/>
  <c r="C133"/>
  <c r="C128"/>
  <c r="C123"/>
  <c r="C119"/>
  <c r="D114"/>
  <c r="C114"/>
  <c r="C113"/>
  <c r="C111"/>
  <c r="D108"/>
  <c r="C108"/>
  <c r="C107"/>
  <c r="C106"/>
  <c r="D105"/>
  <c r="C105"/>
  <c r="C103"/>
  <c r="D100"/>
  <c r="C100"/>
  <c r="C98"/>
  <c r="C97"/>
  <c r="D95"/>
  <c r="C95"/>
  <c r="C88"/>
  <c r="C87"/>
  <c r="C86"/>
  <c r="D84"/>
  <c r="C84"/>
  <c r="C80"/>
  <c r="C77"/>
  <c r="C71"/>
  <c r="C68"/>
  <c r="C65" s="1"/>
  <c r="D65"/>
  <c r="C63"/>
  <c r="C62"/>
  <c r="C61"/>
  <c r="C60"/>
  <c r="C59"/>
  <c r="C57"/>
  <c r="C56"/>
  <c r="C55"/>
  <c r="C53"/>
  <c r="C52" s="1"/>
  <c r="D52"/>
  <c r="C51"/>
  <c r="C50"/>
  <c r="C49" s="1"/>
  <c r="D49"/>
  <c r="C45"/>
  <c r="D44"/>
  <c r="C44"/>
  <c r="C43"/>
  <c r="C41"/>
  <c r="C38"/>
  <c r="C37" s="1"/>
  <c r="D37"/>
  <c r="C36"/>
  <c r="C35"/>
  <c r="C34" s="1"/>
  <c r="D34"/>
  <c r="C33"/>
  <c r="C32"/>
  <c r="C31" s="1"/>
  <c r="D31"/>
  <c r="C30"/>
  <c r="C27"/>
  <c r="C26"/>
  <c r="C25"/>
  <c r="D23"/>
  <c r="C23"/>
  <c r="C22"/>
  <c r="C21"/>
  <c r="C20"/>
  <c r="C19"/>
  <c r="C17"/>
  <c r="C16"/>
  <c r="C15"/>
  <c r="C14"/>
  <c r="C13"/>
  <c r="C12"/>
  <c r="C7"/>
  <c r="C6"/>
  <c r="C4"/>
  <c r="C3" s="1"/>
  <c r="D3"/>
  <c r="M18" i="2"/>
  <c r="P84"/>
  <c r="O84"/>
  <c r="N84"/>
  <c r="M84"/>
  <c r="L84"/>
  <c r="K84"/>
  <c r="J84"/>
  <c r="I84"/>
  <c r="H84"/>
  <c r="G84"/>
  <c r="F84"/>
  <c r="E84"/>
  <c r="D84"/>
  <c r="C84"/>
  <c r="P81"/>
  <c r="O81"/>
  <c r="N81"/>
  <c r="M81"/>
  <c r="L81"/>
  <c r="K81"/>
  <c r="J81"/>
  <c r="I81"/>
  <c r="H81"/>
  <c r="G81"/>
  <c r="F81"/>
  <c r="E81"/>
  <c r="D81"/>
  <c r="C81"/>
  <c r="P78"/>
  <c r="O78"/>
  <c r="N78"/>
  <c r="M78"/>
  <c r="L78"/>
  <c r="K78"/>
  <c r="J78"/>
  <c r="I78"/>
  <c r="H78"/>
  <c r="G78"/>
  <c r="F78"/>
  <c r="E78"/>
  <c r="D78"/>
  <c r="C78"/>
  <c r="P73"/>
  <c r="O73"/>
  <c r="N73"/>
  <c r="M73"/>
  <c r="L73"/>
  <c r="K73"/>
  <c r="J73"/>
  <c r="I73"/>
  <c r="H73"/>
  <c r="G73"/>
  <c r="F73"/>
  <c r="E73"/>
  <c r="D73"/>
  <c r="C73"/>
  <c r="P69"/>
  <c r="O69"/>
  <c r="N69"/>
  <c r="M69"/>
  <c r="L69"/>
  <c r="K69"/>
  <c r="J69"/>
  <c r="I69"/>
  <c r="H69"/>
  <c r="G69"/>
  <c r="F69"/>
  <c r="E69"/>
  <c r="D69"/>
  <c r="C69"/>
  <c r="P64"/>
  <c r="O64"/>
  <c r="N64"/>
  <c r="M64"/>
  <c r="L64"/>
  <c r="K64"/>
  <c r="J64"/>
  <c r="I64"/>
  <c r="H64"/>
  <c r="G64"/>
  <c r="F64"/>
  <c r="E64"/>
  <c r="D64"/>
  <c r="P54"/>
  <c r="O54"/>
  <c r="N54"/>
  <c r="M54"/>
  <c r="L54"/>
  <c r="K54"/>
  <c r="K86" s="1"/>
  <c r="J54"/>
  <c r="I54"/>
  <c r="H54"/>
  <c r="G54"/>
  <c r="G86" s="1"/>
  <c r="F54"/>
  <c r="E54"/>
  <c r="D54"/>
  <c r="C54"/>
  <c r="P38"/>
  <c r="O38"/>
  <c r="N38"/>
  <c r="M38"/>
  <c r="L38"/>
  <c r="K38"/>
  <c r="J38"/>
  <c r="I38"/>
  <c r="H38"/>
  <c r="G38"/>
  <c r="F38"/>
  <c r="E38"/>
  <c r="D38"/>
  <c r="P28"/>
  <c r="O28"/>
  <c r="N28"/>
  <c r="M28"/>
  <c r="L28"/>
  <c r="K28"/>
  <c r="J28"/>
  <c r="I28"/>
  <c r="H28"/>
  <c r="G28"/>
  <c r="F28"/>
  <c r="E28"/>
  <c r="D28"/>
  <c r="P18"/>
  <c r="O18"/>
  <c r="N18"/>
  <c r="L18"/>
  <c r="K18"/>
  <c r="J18"/>
  <c r="I18"/>
  <c r="H18"/>
  <c r="G18"/>
  <c r="F18"/>
  <c r="E18"/>
  <c r="D18"/>
  <c r="C18"/>
  <c r="P12"/>
  <c r="O12"/>
  <c r="N12"/>
  <c r="M12"/>
  <c r="L12"/>
  <c r="K12"/>
  <c r="J12"/>
  <c r="I12"/>
  <c r="H12"/>
  <c r="G12"/>
  <c r="F12"/>
  <c r="E12"/>
  <c r="D12"/>
  <c r="B84"/>
  <c r="B81"/>
  <c r="B78"/>
  <c r="B73"/>
  <c r="B69"/>
  <c r="B64"/>
  <c r="B54"/>
  <c r="B47"/>
  <c r="B38"/>
  <c r="B37"/>
  <c r="B28" s="1"/>
  <c r="B26"/>
  <c r="B19"/>
  <c r="B18" s="1"/>
  <c r="B17"/>
  <c r="B12" s="1"/>
  <c r="B14"/>
  <c r="B13"/>
  <c r="D86" l="1"/>
  <c r="L86"/>
  <c r="F86"/>
  <c r="J86"/>
  <c r="O86"/>
  <c r="E86"/>
  <c r="I86"/>
  <c r="H86"/>
  <c r="P86"/>
  <c r="N86"/>
  <c r="B86"/>
  <c r="C86"/>
  <c r="M86"/>
  <c r="C220" i="4"/>
</calcChain>
</file>

<file path=xl/sharedStrings.xml><?xml version="1.0" encoding="utf-8"?>
<sst xmlns="http://schemas.openxmlformats.org/spreadsheetml/2006/main" count="628" uniqueCount="519">
  <si>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</si>
  <si>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</si>
  <si>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</si>
  <si>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</si>
  <si>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</si>
  <si>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</si>
  <si>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</si>
  <si>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</si>
  <si>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</si>
  <si>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</si>
  <si>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</si>
  <si>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</si>
  <si>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</si>
  <si>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</si>
  <si>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</si>
  <si>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</si>
  <si>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</si>
  <si>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</si>
  <si>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</si>
  <si>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</si>
  <si>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</si>
  <si>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</si>
  <si>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</si>
  <si>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</si>
  <si>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</si>
  <si>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</si>
  <si>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</si>
  <si>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</si>
  <si>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</si>
  <si>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</si>
  <si>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</si>
  <si>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</si>
  <si>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</si>
  <si>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</si>
  <si>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</si>
  <si>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</si>
  <si>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</si>
  <si>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</si>
  <si>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</si>
  <si>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</si>
  <si>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</si>
  <si>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</si>
  <si>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</si>
  <si>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</si>
  <si>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</si>
  <si>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</si>
  <si>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</si>
  <si>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</si>
  <si>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</si>
  <si>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</si>
  <si>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</si>
  <si>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</si>
  <si>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</si>
  <si>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</si>
  <si>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</si>
  <si>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</si>
  <si>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</si>
  <si>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</si>
  <si>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</si>
  <si>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</si>
  <si>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</si>
  <si>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</si>
  <si>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</si>
  <si>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</si>
  <si>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</si>
  <si>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</si>
  <si>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</si>
  <si>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</si>
  <si>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</si>
  <si>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</si>
  <si>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</si>
  <si>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</si>
  <si>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</si>
  <si>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</si>
  <si>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</si>
  <si>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</si>
  <si>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</si>
  <si>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</si>
  <si>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</si>
  <si>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</si>
  <si>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</si>
  <si>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</si>
  <si>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</si>
  <si>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</si>
  <si>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</si>
  <si>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</si>
  <si>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</si>
  <si>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</si>
  <si>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</si>
  <si>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</si>
  <si>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</si>
  <si>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</si>
  <si>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</si>
  <si>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</si>
  <si>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</si>
  <si>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</si>
  <si>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</si>
  <si>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</si>
  <si>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Cuenta No.</t>
  </si>
  <si>
    <t>Descripción de Cuenta</t>
  </si>
  <si>
    <t>Asignación</t>
  </si>
  <si>
    <t xml:space="preserve"> Gasto Anual</t>
  </si>
  <si>
    <t>Extrapresup.</t>
  </si>
  <si>
    <t>2.1.1</t>
  </si>
  <si>
    <t>Remuneraciones al Personal Fijo</t>
  </si>
  <si>
    <t>2.1.1.1.01</t>
  </si>
  <si>
    <t>Sueldos fijos</t>
  </si>
  <si>
    <t>2.1.1.1.12</t>
  </si>
  <si>
    <t>Sueldo fijo por cargo a personal militar y policial</t>
  </si>
  <si>
    <t>2.1.1.2.04</t>
  </si>
  <si>
    <t>Servicios especiales</t>
  </si>
  <si>
    <t>2.1.1.2.01</t>
  </si>
  <si>
    <t>Personal igualado</t>
  </si>
  <si>
    <t>2.1.1.2.02</t>
  </si>
  <si>
    <t>Sueldos de personal nominal</t>
  </si>
  <si>
    <t>2.1.1.2.05</t>
  </si>
  <si>
    <t>Sueldo al personal nominal en período probatorio</t>
  </si>
  <si>
    <t>2.1.1.4.01</t>
  </si>
  <si>
    <t>Sueldo Anual No.13 (Regalia)</t>
  </si>
  <si>
    <t>2.1.2.2.01</t>
  </si>
  <si>
    <t>Compensación por gastos de alimentación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</si>
  <si>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</si>
  <si>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</si>
  <si>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</si>
  <si>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</si>
  <si>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</si>
  <si>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</si>
  <si>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2.1.2.2.13</t>
  </si>
  <si>
    <t>Incentivo por riesgo laboral al personal militar</t>
  </si>
  <si>
    <t>2.1.3.1.01</t>
  </si>
  <si>
    <t>Dietas en el país</t>
  </si>
  <si>
    <t>2.1.3.2.01</t>
  </si>
  <si>
    <t>Gastos de representación en el país</t>
  </si>
  <si>
    <t>2.1.3.2.02</t>
  </si>
  <si>
    <t>Gastos de representación en el exterior</t>
  </si>
  <si>
    <t>2.1.4.2.01</t>
  </si>
  <si>
    <t>Bono Escolar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</si>
  <si>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</si>
  <si>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</si>
  <si>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</si>
  <si>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</si>
  <si>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</si>
  <si>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</si>
  <si>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</t>
  </si>
  <si>
    <t>Servicios Basicos</t>
  </si>
  <si>
    <t>.22.1.1.01</t>
  </si>
  <si>
    <t>Radiocomunicacion</t>
  </si>
  <si>
    <t>2.2.1.1.01</t>
  </si>
  <si>
    <t>Radiocomunicación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</si>
  <si>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</si>
  <si>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</si>
  <si>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</si>
  <si>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</si>
  <si>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</si>
  <si>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</si>
  <si>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</si>
  <si>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</si>
  <si>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</si>
  <si>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</si>
  <si>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</t>
  </si>
  <si>
    <t>Publicidad Impresión y encuadernacion</t>
  </si>
  <si>
    <t>2.2.2.1.01</t>
  </si>
  <si>
    <t>Publicidad y propaganda</t>
  </si>
  <si>
    <t>2.2.2.2.01</t>
  </si>
  <si>
    <t>Impresión, encuadernación y rotulación</t>
  </si>
  <si>
    <t>2.2.3</t>
  </si>
  <si>
    <t>Viaticos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</si>
  <si>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</si>
  <si>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</si>
  <si>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</si>
  <si>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</si>
  <si>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</si>
  <si>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</si>
  <si>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</si>
  <si>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 y gastos de transporte</t>
  </si>
  <si>
    <t>2.2.4.3.01</t>
  </si>
  <si>
    <t>Almacenaje</t>
  </si>
  <si>
    <t>2.2.4.3.02</t>
  </si>
  <si>
    <t>Servicios de manejo y embalaje</t>
  </si>
  <si>
    <t>2.2.4.2.01</t>
  </si>
  <si>
    <t>Fletes</t>
  </si>
  <si>
    <t>.22.4.4.01</t>
  </si>
  <si>
    <t>Peajes</t>
  </si>
  <si>
    <t>2.2.4.4.01</t>
  </si>
  <si>
    <t>Peaje</t>
  </si>
  <si>
    <t>2.2.5</t>
  </si>
  <si>
    <t xml:space="preserve">Alquileres y Rentas  </t>
  </si>
  <si>
    <t>2.2.5.1.01</t>
  </si>
  <si>
    <t>Alquileres y rentas de edificios y locales</t>
  </si>
  <si>
    <t>2.2.5.4.01</t>
  </si>
  <si>
    <t>Alquileres de equipos de transporte, tracción y elevación</t>
  </si>
  <si>
    <t>2.2.5.8.01</t>
  </si>
  <si>
    <t>Otros Alquileres</t>
  </si>
  <si>
    <t>2.2.5.9.01</t>
  </si>
  <si>
    <t>Licencias Informáticas</t>
  </si>
  <si>
    <t>2.2.6</t>
  </si>
  <si>
    <t>Seguros</t>
  </si>
  <si>
    <t>2.2.6.2.01</t>
  </si>
  <si>
    <t>Seguro de bienes muebles</t>
  </si>
  <si>
    <t>2.2.6.3.01</t>
  </si>
  <si>
    <t>Seguros de personas</t>
  </si>
  <si>
    <t>2.2.7</t>
  </si>
  <si>
    <t>Instalaciones Temporales</t>
  </si>
  <si>
    <t>2.2.7.1.01</t>
  </si>
  <si>
    <t>Obras menores en edificaciones</t>
  </si>
  <si>
    <t>2.2.7.1.07</t>
  </si>
  <si>
    <t>Servicios de pintura y derivados con fin de higiene y embellecimiento</t>
  </si>
  <si>
    <t>2.2.7.1.02</t>
  </si>
  <si>
    <t>Servicios Especiales de Mantenimineto y reparación</t>
  </si>
  <si>
    <t>2.2.7.1.06</t>
  </si>
  <si>
    <t>Mantenimiento y reparación de instalaciones eléctricas</t>
  </si>
  <si>
    <t>Servicios de pintura y derivados con fines de higiene y embellecimiento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</si>
  <si>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</si>
  <si>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</si>
  <si>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</si>
  <si>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</si>
  <si>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</si>
  <si>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</si>
  <si>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</si>
  <si>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eq. Oficina y mueble</t>
  </si>
  <si>
    <t>2.2.7.2.05</t>
  </si>
  <si>
    <t>Mantenimiento y reparación de equipos sanitarios y laboratorio</t>
  </si>
  <si>
    <t>2.2.7.2.06</t>
  </si>
  <si>
    <t>Mantenimiento y reparación de equipos de transp. Tracción y elevación</t>
  </si>
  <si>
    <t>2.2.7.2.08</t>
  </si>
  <si>
    <t>Servicios de mantenimiento, reparación, desmonte e instalación de maquinarias y equipos</t>
  </si>
  <si>
    <t>2.2.8</t>
  </si>
  <si>
    <t>Otros Servicios No personales</t>
  </si>
  <si>
    <t>.22.8.1.01</t>
  </si>
  <si>
    <t>Gastos Judiciales</t>
  </si>
  <si>
    <t>2.2.8.1.01</t>
  </si>
  <si>
    <t>2.2.8.2.01</t>
  </si>
  <si>
    <t>Comisiones y  Gastos Bancarios</t>
  </si>
  <si>
    <t>2.2.8.3.01</t>
  </si>
  <si>
    <t>Servicios sanitarios médicos y veterinarios</t>
  </si>
  <si>
    <t>2.2.8.5.02</t>
  </si>
  <si>
    <t>Lavandería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</si>
  <si>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</si>
  <si>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</si>
  <si>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</si>
  <si>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</si>
  <si>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</si>
  <si>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</si>
  <si>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</si>
  <si>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</si>
  <si>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2.2.8.7.01</t>
  </si>
  <si>
    <t>Estudios de ingeniería, arquitectura, investigaciones y análisis de factibilidad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</si>
  <si>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</si>
  <si>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</si>
  <si>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</si>
  <si>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</si>
  <si>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</si>
  <si>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</si>
  <si>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</si>
  <si>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Tecnicos Profesionales</t>
  </si>
  <si>
    <t>2.2.8.8.01</t>
  </si>
  <si>
    <t>Impuestos</t>
  </si>
  <si>
    <t>2.2.8.9.04</t>
  </si>
  <si>
    <t>Otros gastos por indemnizaciones y compensaciones</t>
  </si>
  <si>
    <t>2.2.9.2.01</t>
  </si>
  <si>
    <t>Servicios de alimentación</t>
  </si>
  <si>
    <t>Otros gastos operativos de instituciones empresariales</t>
  </si>
  <si>
    <t>2.3.1</t>
  </si>
  <si>
    <t>Alimentos y Productos agroforestales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</si>
  <si>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</si>
  <si>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</si>
  <si>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</si>
  <si>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</si>
  <si>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</si>
  <si>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</si>
  <si>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2.3.1.4.01</t>
  </si>
  <si>
    <t>Madera, corcho y sus manufacturas</t>
  </si>
  <si>
    <t>Medera, Corcho y su manufactura</t>
  </si>
  <si>
    <t>2.3.2</t>
  </si>
  <si>
    <t>Textiles y Vesturios</t>
  </si>
  <si>
    <t>.23.2.1.01</t>
  </si>
  <si>
    <t>Hilados y Telas</t>
  </si>
  <si>
    <t>.23.2.2.01</t>
  </si>
  <si>
    <t>Acabados textiles</t>
  </si>
  <si>
    <t>.23.2.3.01</t>
  </si>
  <si>
    <t>Prendas de Vestir</t>
  </si>
  <si>
    <t>.23.2.4.01</t>
  </si>
  <si>
    <t>Calzados</t>
  </si>
  <si>
    <t>2.3.2.1.01</t>
  </si>
  <si>
    <t>Hilados, fibras y telas</t>
  </si>
  <si>
    <t>2.3.2.2.01</t>
  </si>
  <si>
    <t>2.3.2.3.01</t>
  </si>
  <si>
    <t>Prendas y accesorios de vestir</t>
  </si>
  <si>
    <t>2.3.2.4.01</t>
  </si>
  <si>
    <t>2.3.3</t>
  </si>
  <si>
    <t>Productos de Papel, Carton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</si>
  <si>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</si>
  <si>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</si>
  <si>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</si>
  <si>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</si>
  <si>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</si>
  <si>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</si>
  <si>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</si>
  <si>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 revistas y periódicos</t>
  </si>
  <si>
    <t>2.3.4</t>
  </si>
  <si>
    <t>Productos Farmaceuticos</t>
  </si>
  <si>
    <t xml:space="preserve">2.3.4.1.01 </t>
  </si>
  <si>
    <t>Productos medicinales para uso humano</t>
  </si>
  <si>
    <t xml:space="preserve">2.3.4.2.01 </t>
  </si>
  <si>
    <t>Productos medicinales para uso veterinario</t>
  </si>
  <si>
    <t>2.3.5</t>
  </si>
  <si>
    <t>Productos de Cuero, Caucho y Plastico</t>
  </si>
  <si>
    <t>2.3.5.1.01</t>
  </si>
  <si>
    <t>Cueros y pieles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</si>
  <si>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</si>
  <si>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</si>
  <si>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</si>
  <si>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</si>
  <si>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</si>
  <si>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</si>
  <si>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</si>
  <si>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</si>
  <si>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</t>
  </si>
  <si>
    <t>Productos de Minerales, Metalicos y No metalicos</t>
  </si>
  <si>
    <t>2.3.6.1.01</t>
  </si>
  <si>
    <t>Productos de cemento</t>
  </si>
  <si>
    <t>2.3.6.1.02</t>
  </si>
  <si>
    <t>Productos de cal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</si>
  <si>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</si>
  <si>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</si>
  <si>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</si>
  <si>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</si>
  <si>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</si>
  <si>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</si>
  <si>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2.3.6.2.03</t>
  </si>
  <si>
    <t>Productos de porcelana</t>
  </si>
  <si>
    <t>2.3.6.3.01</t>
  </si>
  <si>
    <t>Productos ferrosos</t>
  </si>
  <si>
    <t>2.3.6.3.02</t>
  </si>
  <si>
    <t>Productos no ferrosos</t>
  </si>
  <si>
    <t>2.3.6.3.03</t>
  </si>
  <si>
    <t>Estructuras metálicas acabadas</t>
  </si>
  <si>
    <t>.23.6.3.05</t>
  </si>
  <si>
    <t>Productos de hojalata</t>
  </si>
  <si>
    <t>.23.6.3.06</t>
  </si>
  <si>
    <t>Acesorio de Metal</t>
  </si>
  <si>
    <t>2.3.6.3.04</t>
  </si>
  <si>
    <t>Herramientas menores</t>
  </si>
  <si>
    <t>2.3.6.3.05</t>
  </si>
  <si>
    <t>2.3.6.3.06</t>
  </si>
  <si>
    <t>Productos metálicos</t>
  </si>
  <si>
    <t>2.3.6.3.07</t>
  </si>
  <si>
    <t>Otros productos metálicos</t>
  </si>
  <si>
    <t>2.3.6.4.04</t>
  </si>
  <si>
    <t>Piedra, arcilla y arena</t>
  </si>
  <si>
    <t>2.3.6.4.07</t>
  </si>
  <si>
    <t>Otros minerales</t>
  </si>
  <si>
    <t>.23.6.4.07</t>
  </si>
  <si>
    <t>Otros Minerales</t>
  </si>
  <si>
    <t>2.3.7</t>
  </si>
  <si>
    <t>Combustibles, Lubricantes, productos quimicos y conexos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</si>
  <si>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</si>
  <si>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</si>
  <si>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</si>
  <si>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</si>
  <si>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</si>
  <si>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</si>
  <si>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</si>
  <si>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</si>
  <si>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.23.7.1.05</t>
  </si>
  <si>
    <t>Aceites y grasas</t>
  </si>
  <si>
    <t>2.3.7.1.05</t>
  </si>
  <si>
    <t>2.3.7.1.06</t>
  </si>
  <si>
    <t>Lubricantes</t>
  </si>
  <si>
    <t>.23.7.2.01</t>
  </si>
  <si>
    <t>Productos explosivos y pirotecnia</t>
  </si>
  <si>
    <t>2.3.7.1.07</t>
  </si>
  <si>
    <t>Gas Natural</t>
  </si>
  <si>
    <t>2.3.7.1.99</t>
  </si>
  <si>
    <t>Otros Combustibles</t>
  </si>
  <si>
    <t>2.3.7.2.01</t>
  </si>
  <si>
    <t>2.3.7.2.02</t>
  </si>
  <si>
    <t>Productos fotoquímicos</t>
  </si>
  <si>
    <t>2.3.7.2.03</t>
  </si>
  <si>
    <t>Productos químicos de uso personal</t>
  </si>
  <si>
    <t>.23.7.2.04</t>
  </si>
  <si>
    <t>Abonos y fertilizantes</t>
  </si>
  <si>
    <t>2.3.7.2.04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</si>
  <si>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</si>
  <si>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</si>
  <si>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</si>
  <si>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</si>
  <si>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</si>
  <si>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</si>
  <si>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</si>
  <si>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</si>
  <si>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2.3.9</t>
  </si>
  <si>
    <t>Productos y Utiles Varios</t>
  </si>
  <si>
    <t>2.3.9.1.01</t>
  </si>
  <si>
    <t>Materiales de limpieza e higiene</t>
  </si>
  <si>
    <t>2.3.9.2.01</t>
  </si>
  <si>
    <t>Útiles y materiales de escritorio, oficina e informática</t>
  </si>
  <si>
    <t>2.3.9.2.02</t>
  </si>
  <si>
    <t>Útiles escolares y de enseñanzas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</si>
  <si>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</si>
  <si>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</si>
  <si>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</si>
  <si>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</si>
  <si>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</si>
  <si>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Utiles de cocina y comedor</t>
  </si>
  <si>
    <t>2.3.9.6.01</t>
  </si>
  <si>
    <t>Productos eléctricos y afines</t>
  </si>
  <si>
    <t>2.3.9.8.01</t>
  </si>
  <si>
    <t>Repuestos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</si>
  <si>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</si>
  <si>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</si>
  <si>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</si>
  <si>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</si>
  <si>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</si>
  <si>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</si>
  <si>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.23.9.7.01</t>
  </si>
  <si>
    <t>Productos y Utiles Veterinarios</t>
  </si>
  <si>
    <t>.23.9.9.01</t>
  </si>
  <si>
    <t>Productos y Utiles Varios N.I.P</t>
  </si>
  <si>
    <t>2.4.1</t>
  </si>
  <si>
    <t>Transferencias Corrientes al Sector Privado</t>
  </si>
  <si>
    <t>.24.1.1.01</t>
  </si>
  <si>
    <t>Pensiones</t>
  </si>
  <si>
    <t>2.4.1.2.01</t>
  </si>
  <si>
    <t>Ayudas y donaciones programadas a hogares y personas</t>
  </si>
  <si>
    <t>2.4.1.2.02</t>
  </si>
  <si>
    <t>Ayudas y donaciones ocasionales a hogares y personas</t>
  </si>
  <si>
    <t>2.4.1.2.05</t>
  </si>
  <si>
    <t>Subsidios para viviendas económicas</t>
  </si>
  <si>
    <t>2.4.1.4.01</t>
  </si>
  <si>
    <t>Becas nacionales</t>
  </si>
  <si>
    <t>.24.1.2.02</t>
  </si>
  <si>
    <t>Ayudas y donaciones ocacionales a Hogares y Personas</t>
  </si>
  <si>
    <t>.24.1.6.01</t>
  </si>
  <si>
    <t>Transferencias corrientes asoc. Sin fines de lucro</t>
  </si>
  <si>
    <t>2.4.2</t>
  </si>
  <si>
    <t>Transferencias Corrientes Gobierno Central y Nacional</t>
  </si>
  <si>
    <t>.24.2.1.03</t>
  </si>
  <si>
    <t>Aportaciones corrientes al Poder Judicial</t>
  </si>
  <si>
    <t>.24.2.3.01</t>
  </si>
  <si>
    <t>Transferencias corrientes a instituciones publicas de la Seguridad Social para Servicios Personales</t>
  </si>
  <si>
    <t>2.4.1.4.02</t>
  </si>
  <si>
    <t>Becas extranjeras</t>
  </si>
  <si>
    <t>2.4.1.6.01</t>
  </si>
  <si>
    <t>Transferencias corrientes programadas a asociaciones sin fines de lucro</t>
  </si>
  <si>
    <t>2.4.1.6.05</t>
  </si>
  <si>
    <t>Transferencias corrientes ocasionales a asociaciones sin fines de lucro</t>
  </si>
  <si>
    <t>2.4.1.6.06</t>
  </si>
  <si>
    <t>Transferencias corrientes a federaciones deportivas</t>
  </si>
  <si>
    <t>Transferencias Corrientes a Empresas Publicas no financieras</t>
  </si>
  <si>
    <t>2.4.2.3.01</t>
  </si>
  <si>
    <t>Transferencia corrient. a instituciones públicas de la seguridad social</t>
  </si>
  <si>
    <t>2.4.2.3.02</t>
  </si>
  <si>
    <t>Otras transf. corrientes a instituc. públicas de la seguridad social</t>
  </si>
  <si>
    <t>2.4.4</t>
  </si>
  <si>
    <t>Transferencias Corrientes a Empresas Públicas no Financieras</t>
  </si>
  <si>
    <t>2.4.4.1.02</t>
  </si>
  <si>
    <t xml:space="preserve">Otras transferencias corrientes a empresas públicas no financieras nacionales
</t>
  </si>
  <si>
    <t>2.6.1</t>
  </si>
  <si>
    <t>Mobiliario y Equipos</t>
  </si>
  <si>
    <t>2.6.1.1.01</t>
  </si>
  <si>
    <t>Muebles, equipos de oficina y estantería</t>
  </si>
  <si>
    <t>2.6.1.1.02</t>
  </si>
  <si>
    <t>Muebles de Alojamientos, exepto de oficina y estanteria</t>
  </si>
  <si>
    <t>2.6.1.3.01</t>
  </si>
  <si>
    <t>Equipos de tecnología de la información y comunicación</t>
  </si>
  <si>
    <t>2.6.1.4.01</t>
  </si>
  <si>
    <t>Electrodomesticos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</si>
  <si>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</si>
  <si>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</si>
  <si>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</si>
  <si>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</si>
  <si>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</si>
  <si>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</si>
  <si>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2.6.3.2.01</t>
  </si>
  <si>
    <t>Instrumental médico y de laboratorio</t>
  </si>
  <si>
    <t>2.6.4.1.01</t>
  </si>
  <si>
    <t>Automóviles y camiones</t>
  </si>
  <si>
    <t>2.6.5.2.01</t>
  </si>
  <si>
    <t>Maquinaria y equipo industrial</t>
  </si>
  <si>
    <t>2.6.5.4.01</t>
  </si>
  <si>
    <t>Sistemas y equipos de aire acondicionado, calefacción y refrigeración industrial y comercial</t>
  </si>
  <si>
    <t>2.6.5.7.01</t>
  </si>
  <si>
    <t>Máquinas-herramientas</t>
  </si>
  <si>
    <t>2.6.7.5.01</t>
  </si>
  <si>
    <t>Otras estructuras</t>
  </si>
  <si>
    <t>Otros Mobiliarios y Equipos no Identificados Precedentemente</t>
  </si>
  <si>
    <t>2.6.4.6.01</t>
  </si>
  <si>
    <t>Equipo de tracción</t>
  </si>
  <si>
    <t>2.6.4.8.01</t>
  </si>
  <si>
    <t>Otros equipos de transporte</t>
  </si>
  <si>
    <t>2.6.5.5.01</t>
  </si>
  <si>
    <t>Equipo de comunicación, telecomunicaciones y señalamiento</t>
  </si>
  <si>
    <t>2.6.8.3.01</t>
  </si>
  <si>
    <t>Programas de informática</t>
  </si>
  <si>
    <t>2.6.8.8.01</t>
  </si>
  <si>
    <t>2.6.8.8.02</t>
  </si>
  <si>
    <t>Licencias Intelectuales</t>
  </si>
  <si>
    <t>2.6.9.3.01</t>
  </si>
  <si>
    <t>Terrenos urbanos sin mejoras</t>
  </si>
  <si>
    <t>2.6.9.3.03</t>
  </si>
  <si>
    <t>Terrenos urbanos con edificaciones</t>
  </si>
  <si>
    <t>2.7.1</t>
  </si>
  <si>
    <t>Obras en edificaciones</t>
  </si>
  <si>
    <t>2.7.1.2.01</t>
  </si>
  <si>
    <t>Obras para edificación no residencial</t>
  </si>
  <si>
    <t>2.8.5</t>
  </si>
  <si>
    <t>Aportes de capital al sector público</t>
  </si>
  <si>
    <t>2.8.5.2.01</t>
  </si>
  <si>
    <t>Aportes de capital al sector público no financiero</t>
  </si>
  <si>
    <t>2.9.4</t>
  </si>
  <si>
    <t>COMISIONES Y OTROS GASTOS BANCARIOS DE LA DEUDA PÚBLICA</t>
  </si>
  <si>
    <t>2.9.4.1.01</t>
  </si>
  <si>
    <t>Comisiones y otros gastos bancarios de la deuda pública interna</t>
  </si>
  <si>
    <t xml:space="preserve">Total Sueldos y  Gastos Operacionales </t>
  </si>
  <si>
    <t xml:space="preserve">2.2.8.9.03 </t>
  </si>
  <si>
    <t>Presidencia de la República Dominicana</t>
  </si>
  <si>
    <t>Año {2021}</t>
  </si>
  <si>
    <t xml:space="preserve"> Dierección Nacional de Control de Drogas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</si>
</sst>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43" fontId="9" fillId="4" borderId="0" xfId="1" applyFont="1" applyFill="1" applyBorder="1"/>
    <xf numFmtId="43" fontId="10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10" fillId="6" borderId="12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/>
    </xf>
    <xf numFmtId="49" fontId="10" fillId="6" borderId="12" xfId="1" applyNumberFormat="1" applyFont="1" applyFill="1" applyBorder="1" applyAlignment="1">
      <alignment horizontal="center" vertical="center"/>
    </xf>
    <xf numFmtId="0" fontId="11" fillId="6" borderId="12" xfId="2" applyFont="1" applyFill="1" applyBorder="1" applyAlignment="1">
      <alignment horizontal="center" vertical="center" wrapText="1"/>
    </xf>
    <xf numFmtId="43" fontId="10" fillId="7" borderId="14" xfId="1" applyFont="1" applyFill="1" applyBorder="1" applyAlignment="1">
      <alignment vertical="center"/>
    </xf>
    <xf numFmtId="0" fontId="1" fillId="4" borderId="15" xfId="2" applyFont="1" applyFill="1" applyBorder="1"/>
    <xf numFmtId="0" fontId="12" fillId="4" borderId="15" xfId="2" applyFont="1" applyFill="1" applyBorder="1"/>
    <xf numFmtId="43" fontId="9" fillId="0" borderId="15" xfId="1" applyFont="1" applyFill="1" applyBorder="1" applyAlignment="1">
      <alignment vertical="center"/>
    </xf>
    <xf numFmtId="0" fontId="1" fillId="4" borderId="15" xfId="2" applyFont="1" applyFill="1" applyBorder="1" applyAlignment="1">
      <alignment vertical="center"/>
    </xf>
    <xf numFmtId="0" fontId="12" fillId="4" borderId="15" xfId="2" applyFont="1" applyFill="1" applyBorder="1" applyAlignment="1">
      <alignment wrapText="1"/>
    </xf>
    <xf numFmtId="0" fontId="12" fillId="4" borderId="15" xfId="2" applyFont="1" applyFill="1" applyBorder="1" applyAlignment="1">
      <alignment horizontal="left" vertical="center" wrapText="1"/>
    </xf>
    <xf numFmtId="0" fontId="12" fillId="4" borderId="15" xfId="2" applyFont="1" applyFill="1" applyBorder="1" applyAlignment="1">
      <alignment vertical="center" wrapText="1"/>
    </xf>
    <xf numFmtId="43" fontId="9" fillId="4" borderId="15" xfId="1" applyFont="1" applyFill="1" applyBorder="1" applyAlignment="1">
      <alignment vertical="center"/>
    </xf>
    <xf numFmtId="0" fontId="3" fillId="7" borderId="15" xfId="2" applyFont="1" applyFill="1" applyBorder="1"/>
    <xf numFmtId="0" fontId="13" fillId="7" borderId="15" xfId="2" applyFont="1" applyFill="1" applyBorder="1"/>
    <xf numFmtId="43" fontId="10" fillId="7" borderId="15" xfId="1" applyFont="1" applyFill="1" applyBorder="1" applyAlignment="1">
      <alignment vertical="center"/>
    </xf>
    <xf numFmtId="43" fontId="8" fillId="0" borderId="15" xfId="1" applyFont="1" applyFill="1" applyBorder="1" applyAlignment="1">
      <alignment vertical="center"/>
    </xf>
    <xf numFmtId="43" fontId="1" fillId="0" borderId="15" xfId="1" applyFont="1" applyFill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2" fillId="0" borderId="15" xfId="2" applyFont="1" applyFill="1" applyBorder="1"/>
    <xf numFmtId="0" fontId="1" fillId="0" borderId="15" xfId="2" applyFont="1" applyFill="1" applyBorder="1" applyAlignment="1">
      <alignment wrapText="1"/>
    </xf>
    <xf numFmtId="0" fontId="1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vertical="center" wrapText="1"/>
    </xf>
    <xf numFmtId="0" fontId="12" fillId="0" borderId="15" xfId="2" applyFont="1" applyFill="1" applyBorder="1" applyAlignment="1">
      <alignment horizontal="left" vertical="center" wrapText="1"/>
    </xf>
    <xf numFmtId="0" fontId="12" fillId="0" borderId="15" xfId="2" applyFont="1" applyFill="1" applyBorder="1" applyAlignment="1">
      <alignment wrapText="1"/>
    </xf>
    <xf numFmtId="0" fontId="12" fillId="0" borderId="15" xfId="2" applyFont="1" applyFill="1" applyBorder="1" applyAlignment="1">
      <alignment horizontal="left" wrapText="1"/>
    </xf>
    <xf numFmtId="0" fontId="1" fillId="0" borderId="15" xfId="2" applyFont="1" applyFill="1" applyBorder="1"/>
    <xf numFmtId="0" fontId="1" fillId="0" borderId="15" xfId="2" applyFont="1" applyBorder="1" applyAlignment="1">
      <alignment wrapText="1"/>
    </xf>
    <xf numFmtId="43" fontId="10" fillId="0" borderId="15" xfId="1" applyFont="1" applyFill="1" applyBorder="1" applyAlignment="1">
      <alignment vertical="center"/>
    </xf>
    <xf numFmtId="43" fontId="9" fillId="0" borderId="15" xfId="1" applyFont="1" applyBorder="1" applyAlignment="1">
      <alignment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5" xfId="2" applyFont="1" applyFill="1" applyBorder="1" applyAlignment="1">
      <alignment vertical="center" wrapText="1"/>
    </xf>
    <xf numFmtId="0" fontId="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vertical="center"/>
    </xf>
    <xf numFmtId="0" fontId="13" fillId="7" borderId="15" xfId="2" applyFont="1" applyFill="1" applyBorder="1" applyAlignment="1">
      <alignment wrapText="1"/>
    </xf>
    <xf numFmtId="43" fontId="9" fillId="0" borderId="15" xfId="1" applyFont="1" applyFill="1" applyBorder="1" applyAlignment="1">
      <alignment horizontal="right" vertical="center"/>
    </xf>
    <xf numFmtId="43" fontId="9" fillId="0" borderId="15" xfId="1" applyFont="1" applyFill="1" applyBorder="1" applyAlignment="1">
      <alignment horizontal="center" vertical="center"/>
    </xf>
    <xf numFmtId="43" fontId="10" fillId="0" borderId="15" xfId="1" applyFont="1" applyBorder="1" applyAlignment="1">
      <alignment vertical="center"/>
    </xf>
    <xf numFmtId="0" fontId="9" fillId="0" borderId="15" xfId="2" applyFont="1" applyFill="1" applyBorder="1"/>
    <xf numFmtId="0" fontId="9" fillId="0" borderId="15" xfId="2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vertical="center" wrapText="1"/>
    </xf>
    <xf numFmtId="43" fontId="9" fillId="0" borderId="15" xfId="1" applyFont="1" applyBorder="1" applyAlignment="1">
      <alignment horizontal="center" vertical="center"/>
    </xf>
    <xf numFmtId="0" fontId="12" fillId="0" borderId="15" xfId="2" applyFont="1" applyFill="1" applyBorder="1" applyAlignment="1">
      <alignment vertical="center"/>
    </xf>
    <xf numFmtId="43" fontId="9" fillId="0" borderId="15" xfId="1" applyFont="1" applyFill="1" applyBorder="1" applyAlignment="1">
      <alignment vertical="center" wrapText="1"/>
    </xf>
    <xf numFmtId="43" fontId="9" fillId="0" borderId="15" xfId="1" applyFont="1" applyBorder="1" applyAlignment="1">
      <alignment vertical="center" wrapText="1"/>
    </xf>
    <xf numFmtId="43" fontId="9" fillId="8" borderId="15" xfId="1" applyFont="1" applyFill="1" applyBorder="1" applyAlignment="1">
      <alignment vertical="center"/>
    </xf>
    <xf numFmtId="0" fontId="12" fillId="4" borderId="15" xfId="2" applyFont="1" applyFill="1" applyBorder="1" applyAlignment="1">
      <alignment horizontal="left" wrapText="1"/>
    </xf>
    <xf numFmtId="0" fontId="13" fillId="7" borderId="15" xfId="2" applyFont="1" applyFill="1" applyBorder="1" applyAlignment="1">
      <alignment horizontal="left" vertical="center" wrapText="1"/>
    </xf>
    <xf numFmtId="0" fontId="1" fillId="4" borderId="15" xfId="2" applyFont="1" applyFill="1" applyBorder="1" applyAlignment="1">
      <alignment vertical="center" wrapText="1"/>
    </xf>
    <xf numFmtId="0" fontId="1" fillId="0" borderId="15" xfId="2" applyFont="1" applyFill="1" applyBorder="1" applyAlignment="1">
      <alignment horizontal="center" vertical="center"/>
    </xf>
    <xf numFmtId="0" fontId="3" fillId="9" borderId="15" xfId="2" applyFont="1" applyFill="1" applyBorder="1" applyAlignment="1">
      <alignment horizontal="left"/>
    </xf>
    <xf numFmtId="43" fontId="13" fillId="9" borderId="15" xfId="1" applyFont="1" applyFill="1" applyBorder="1" applyAlignment="1">
      <alignment vertical="center"/>
    </xf>
    <xf numFmtId="43" fontId="0" fillId="0" borderId="15" xfId="0" applyNumberFormat="1" applyBorder="1"/>
    <xf numFmtId="0" fontId="0" fillId="0" borderId="15" xfId="0" applyBorder="1"/>
    <xf numFmtId="0" fontId="1" fillId="4" borderId="15" xfId="2" applyFill="1" applyBorder="1"/>
    <xf numFmtId="43" fontId="0" fillId="7" borderId="15" xfId="0" applyNumberFormat="1" applyFill="1" applyBorder="1"/>
    <xf numFmtId="0" fontId="10" fillId="6" borderId="16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/>
    </xf>
    <xf numFmtId="43" fontId="11" fillId="6" borderId="16" xfId="1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 wrapText="1"/>
    </xf>
    <xf numFmtId="0" fontId="10" fillId="7" borderId="15" xfId="2" applyFont="1" applyFill="1" applyBorder="1" applyAlignment="1">
      <alignment horizontal="left" wrapText="1"/>
    </xf>
    <xf numFmtId="0" fontId="10" fillId="7" borderId="15" xfId="2" applyFont="1" applyFill="1" applyBorder="1" applyAlignment="1">
      <alignment horizontal="left"/>
    </xf>
    <xf numFmtId="43" fontId="9" fillId="7" borderId="15" xfId="1" applyFont="1" applyFill="1" applyBorder="1" applyAlignment="1">
      <alignment vertical="center"/>
    </xf>
    <xf numFmtId="0" fontId="0" fillId="7" borderId="15" xfId="0" applyFill="1" applyBorder="1"/>
    <xf numFmtId="43" fontId="0" fillId="9" borderId="15" xfId="0" applyNumberFormat="1" applyFill="1" applyBorder="1"/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0" borderId="15" xfId="2" applyFont="1" applyBorder="1" applyAlignment="1">
      <alignment horizontal="left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2</xdr:row>
      <xdr:rowOff>142875</xdr:rowOff>
    </xdr:from>
    <xdr:to>
      <xdr:col>8</xdr:col>
      <xdr:colOff>66675</xdr:colOff>
      <xdr:row>5</xdr:row>
      <xdr:rowOff>171450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0025" y="523875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86"/>
  <sheetViews>
    <sheetView showGridLines="0" tabSelected="1" workbookViewId="0">
      <selection activeCell="F17" sqref="F17"/>
    </sheetView>
  </sheetViews>
  <sheetFormatPr baseColWidth="10" defaultColWidth="11.42578125" defaultRowHeight="15"/>
  <cols>
    <col min="1" max="1" width="93.7109375" bestFit="1" customWidth="1"/>
    <col min="2" max="2" width="17.5703125" customWidth="1"/>
    <col min="3" max="3" width="16.7109375" style="27" customWidth="1"/>
    <col min="4" max="12" width="11.42578125" style="27"/>
    <col min="13" max="13" width="15.140625" style="27" bestFit="1" customWidth="1"/>
    <col min="14" max="16" width="11.42578125" style="27"/>
  </cols>
  <sheetData>
    <row r="3" spans="1:17" ht="28.5" customHeight="1">
      <c r="A3" s="13" t="s">
        <v>516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7" ht="21" customHeight="1">
      <c r="A4" s="15" t="s">
        <v>518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15.75">
      <c r="A5" s="20" t="s">
        <v>517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7" ht="15.75" customHeight="1">
      <c r="A6" s="22" t="s">
        <v>94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15.75" customHeight="1">
      <c r="A7" s="12" t="s">
        <v>79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1:17" ht="25.5" customHeight="1">
      <c r="A9" s="17" t="s">
        <v>66</v>
      </c>
      <c r="B9" s="18" t="s">
        <v>96</v>
      </c>
      <c r="C9" s="18" t="s">
        <v>95</v>
      </c>
      <c r="D9" s="31" t="s">
        <v>93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</row>
    <row r="10" spans="1:17">
      <c r="A10" s="17"/>
      <c r="B10" s="19"/>
      <c r="C10" s="19"/>
      <c r="D10" s="34" t="s">
        <v>81</v>
      </c>
      <c r="E10" s="34" t="s">
        <v>82</v>
      </c>
      <c r="F10" s="34" t="s">
        <v>83</v>
      </c>
      <c r="G10" s="34" t="s">
        <v>84</v>
      </c>
      <c r="H10" s="35" t="s">
        <v>85</v>
      </c>
      <c r="I10" s="34" t="s">
        <v>86</v>
      </c>
      <c r="J10" s="35" t="s">
        <v>87</v>
      </c>
      <c r="K10" s="34" t="s">
        <v>88</v>
      </c>
      <c r="L10" s="34" t="s">
        <v>89</v>
      </c>
      <c r="M10" s="34" t="s">
        <v>90</v>
      </c>
      <c r="N10" s="34" t="s">
        <v>91</v>
      </c>
      <c r="O10" s="35" t="s">
        <v>92</v>
      </c>
      <c r="P10" s="34" t="s">
        <v>80</v>
      </c>
    </row>
    <row r="11" spans="1:17">
      <c r="A11" s="1" t="s">
        <v>0</v>
      </c>
      <c r="B11" s="2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7">
      <c r="A12" s="3" t="s">
        <v>1</v>
      </c>
      <c r="B12" s="26">
        <f>+B13+B14+B15+B16+B17</f>
        <v>1191454008</v>
      </c>
      <c r="C12" s="26">
        <f t="shared" ref="C12:P12" si="0">+C13+C14+C15+C16+C17</f>
        <v>1301999245.9499998</v>
      </c>
      <c r="D12" s="26">
        <f t="shared" si="0"/>
        <v>0</v>
      </c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103508811.81999999</v>
      </c>
      <c r="N12" s="26">
        <f t="shared" si="0"/>
        <v>0</v>
      </c>
      <c r="O12" s="26">
        <f t="shared" si="0"/>
        <v>0</v>
      </c>
      <c r="P12" s="26">
        <f t="shared" si="0"/>
        <v>0</v>
      </c>
    </row>
    <row r="13" spans="1:17">
      <c r="A13" s="4" t="s">
        <v>2</v>
      </c>
      <c r="B13" s="23">
        <f>901254912+144000000+87104576</f>
        <v>1132359488</v>
      </c>
      <c r="C13" s="27">
        <f>900264757.31+4995000+179300000+1561846.06+87104576</f>
        <v>1173226179.3699999</v>
      </c>
      <c r="M13" s="27">
        <v>90807371.469999999</v>
      </c>
    </row>
    <row r="14" spans="1:17">
      <c r="A14" s="4" t="s">
        <v>3</v>
      </c>
      <c r="B14" s="23">
        <f>26662095+1560000+546000</f>
        <v>28768095</v>
      </c>
      <c r="C14" s="27">
        <f>27463995+10000+2000000+696000+77256145.58</f>
        <v>107426140.58</v>
      </c>
      <c r="E14" s="36"/>
      <c r="M14" s="27">
        <v>10691967</v>
      </c>
    </row>
    <row r="15" spans="1:17">
      <c r="A15" s="4" t="s">
        <v>4</v>
      </c>
      <c r="B15" s="23">
        <v>450000</v>
      </c>
      <c r="C15" s="27">
        <f>250000+550000+400000</f>
        <v>1200000</v>
      </c>
      <c r="M15" s="27">
        <v>207660.55</v>
      </c>
      <c r="Q15" s="9"/>
    </row>
    <row r="16" spans="1:17">
      <c r="A16" s="4" t="s">
        <v>5</v>
      </c>
      <c r="B16" s="23">
        <v>2000000</v>
      </c>
      <c r="C16" s="27">
        <v>0</v>
      </c>
      <c r="M16" s="27">
        <v>0</v>
      </c>
    </row>
    <row r="17" spans="1:16">
      <c r="A17" s="4" t="s">
        <v>6</v>
      </c>
      <c r="B17" s="23">
        <f>17040000+8196425+2640000</f>
        <v>27876425</v>
      </c>
      <c r="C17" s="27">
        <f>17359710+96425+2690791</f>
        <v>20146926</v>
      </c>
      <c r="M17" s="27">
        <v>1801812.8</v>
      </c>
    </row>
    <row r="18" spans="1:16">
      <c r="A18" s="3" t="s">
        <v>7</v>
      </c>
      <c r="B18" s="26">
        <f>+B19+B20+B21+B22+B23+B24+B25+B26+B27</f>
        <v>101169523</v>
      </c>
      <c r="C18" s="26">
        <f t="shared" ref="C18:P18" si="1">+C19+C20+C21+C22+C23+C24+C25+C26+C27</f>
        <v>102192830.31999999</v>
      </c>
      <c r="D18" s="26">
        <f t="shared" si="1"/>
        <v>0</v>
      </c>
      <c r="E18" s="26">
        <f t="shared" si="1"/>
        <v>0</v>
      </c>
      <c r="F18" s="26">
        <f t="shared" si="1"/>
        <v>0</v>
      </c>
      <c r="G18" s="26">
        <f t="shared" si="1"/>
        <v>0</v>
      </c>
      <c r="H18" s="26">
        <f t="shared" si="1"/>
        <v>0</v>
      </c>
      <c r="I18" s="26">
        <f t="shared" si="1"/>
        <v>0</v>
      </c>
      <c r="J18" s="26">
        <f t="shared" si="1"/>
        <v>0</v>
      </c>
      <c r="K18" s="26">
        <f t="shared" si="1"/>
        <v>0</v>
      </c>
      <c r="L18" s="26">
        <f t="shared" si="1"/>
        <v>0</v>
      </c>
      <c r="M18" s="26">
        <f>+M19+M20+M21+M22+M23+M24+M25+M26+M27</f>
        <v>9991629.2899999991</v>
      </c>
      <c r="N18" s="26">
        <f t="shared" si="1"/>
        <v>0</v>
      </c>
      <c r="O18" s="26">
        <f t="shared" si="1"/>
        <v>0</v>
      </c>
      <c r="P18" s="26">
        <f t="shared" si="1"/>
        <v>0</v>
      </c>
    </row>
    <row r="19" spans="1:16">
      <c r="A19" s="4" t="s">
        <v>8</v>
      </c>
      <c r="B19" s="23">
        <f>18950125+24533992</f>
        <v>43484117</v>
      </c>
      <c r="C19" s="27">
        <v>23567492</v>
      </c>
      <c r="M19" s="27">
        <v>2138029.06</v>
      </c>
    </row>
    <row r="20" spans="1:16">
      <c r="A20" s="4" t="s">
        <v>9</v>
      </c>
      <c r="B20" s="23">
        <v>500000</v>
      </c>
      <c r="C20" s="27">
        <v>1676090</v>
      </c>
    </row>
    <row r="21" spans="1:16">
      <c r="A21" s="4" t="s">
        <v>10</v>
      </c>
      <c r="B21" s="23">
        <v>3850000</v>
      </c>
      <c r="C21" s="27">
        <v>4350000</v>
      </c>
      <c r="M21" s="27">
        <v>503350.35</v>
      </c>
    </row>
    <row r="22" spans="1:16">
      <c r="A22" s="4" t="s">
        <v>11</v>
      </c>
      <c r="B22" s="23">
        <v>170000</v>
      </c>
      <c r="C22" s="27">
        <v>631000</v>
      </c>
      <c r="M22" s="27">
        <v>48460</v>
      </c>
    </row>
    <row r="23" spans="1:16">
      <c r="A23" s="4" t="s">
        <v>12</v>
      </c>
      <c r="B23" s="23">
        <v>6600000</v>
      </c>
      <c r="C23" s="27">
        <v>7700000</v>
      </c>
      <c r="M23" s="27">
        <v>981427.16</v>
      </c>
    </row>
    <row r="24" spans="1:16">
      <c r="A24" s="4" t="s">
        <v>13</v>
      </c>
      <c r="B24" s="23">
        <v>7000000</v>
      </c>
      <c r="C24" s="27">
        <v>4455000</v>
      </c>
      <c r="M24" s="27">
        <v>1303219.93</v>
      </c>
    </row>
    <row r="25" spans="1:16">
      <c r="A25" s="4" t="s">
        <v>14</v>
      </c>
      <c r="B25" s="23">
        <v>7100000</v>
      </c>
      <c r="C25" s="27">
        <v>9517842.3200000003</v>
      </c>
      <c r="M25" s="27">
        <v>971960.9</v>
      </c>
    </row>
    <row r="26" spans="1:16">
      <c r="A26" s="4" t="s">
        <v>15</v>
      </c>
      <c r="B26" s="23">
        <f>32465406-31140406</f>
        <v>1325000</v>
      </c>
      <c r="C26" s="27">
        <f>50295406-31140406</f>
        <v>19155000</v>
      </c>
      <c r="M26" s="27">
        <v>854661.89</v>
      </c>
    </row>
    <row r="27" spans="1:16">
      <c r="A27" s="4" t="s">
        <v>16</v>
      </c>
      <c r="B27" s="23">
        <v>31140406</v>
      </c>
      <c r="C27" s="27">
        <v>31140406</v>
      </c>
      <c r="M27" s="27">
        <v>3190520</v>
      </c>
    </row>
    <row r="28" spans="1:16">
      <c r="A28" s="3" t="s">
        <v>17</v>
      </c>
      <c r="B28" s="26">
        <f>+B29+B30+B31+B32+B33+B34+B35+B36+B37</f>
        <v>52326357</v>
      </c>
      <c r="C28" s="26">
        <f>+C29+C30+C31+C32+C33+C34+C35+C36+C37</f>
        <v>176637265</v>
      </c>
      <c r="D28" s="26">
        <f t="shared" ref="D28:P28" si="2">+D29+D30+D31+D32+D33+D34+D35+D36+D37</f>
        <v>0</v>
      </c>
      <c r="E28" s="26">
        <f t="shared" si="2"/>
        <v>0</v>
      </c>
      <c r="F28" s="26">
        <f t="shared" si="2"/>
        <v>0</v>
      </c>
      <c r="G28" s="26">
        <f t="shared" si="2"/>
        <v>0</v>
      </c>
      <c r="H28" s="26">
        <f t="shared" si="2"/>
        <v>0</v>
      </c>
      <c r="I28" s="26">
        <f t="shared" si="2"/>
        <v>0</v>
      </c>
      <c r="J28" s="26">
        <f t="shared" si="2"/>
        <v>0</v>
      </c>
      <c r="K28" s="26">
        <f t="shared" si="2"/>
        <v>0</v>
      </c>
      <c r="L28" s="26">
        <f t="shared" si="2"/>
        <v>0</v>
      </c>
      <c r="M28" s="26">
        <f t="shared" si="2"/>
        <v>12622714.67</v>
      </c>
      <c r="N28" s="26">
        <f t="shared" si="2"/>
        <v>0</v>
      </c>
      <c r="O28" s="26">
        <f t="shared" si="2"/>
        <v>0</v>
      </c>
      <c r="P28" s="26">
        <f t="shared" si="2"/>
        <v>0</v>
      </c>
    </row>
    <row r="29" spans="1:16">
      <c r="A29" s="4" t="s">
        <v>18</v>
      </c>
      <c r="B29" s="23">
        <v>2610000</v>
      </c>
      <c r="C29" s="27">
        <v>3120000</v>
      </c>
      <c r="M29" s="27">
        <v>12661.5</v>
      </c>
    </row>
    <row r="30" spans="1:16">
      <c r="A30" s="4" t="s">
        <v>19</v>
      </c>
      <c r="B30" s="23">
        <v>0</v>
      </c>
      <c r="C30" s="27">
        <v>20850978</v>
      </c>
      <c r="M30" s="27">
        <v>961110</v>
      </c>
    </row>
    <row r="31" spans="1:16">
      <c r="A31" s="4" t="s">
        <v>20</v>
      </c>
      <c r="B31" s="23">
        <v>1250000</v>
      </c>
      <c r="C31" s="27">
        <v>1900000</v>
      </c>
      <c r="M31" s="27">
        <v>118144.95</v>
      </c>
    </row>
    <row r="32" spans="1:16">
      <c r="A32" s="4" t="s">
        <v>21</v>
      </c>
      <c r="B32" s="23">
        <v>750000</v>
      </c>
      <c r="C32" s="27">
        <v>4850000</v>
      </c>
    </row>
    <row r="33" spans="1:16">
      <c r="A33" s="4" t="s">
        <v>22</v>
      </c>
      <c r="B33" s="23">
        <v>4200000</v>
      </c>
      <c r="C33" s="27">
        <v>2800000</v>
      </c>
      <c r="M33" s="27">
        <v>7867.55</v>
      </c>
    </row>
    <row r="34" spans="1:16">
      <c r="A34" s="4" t="s">
        <v>23</v>
      </c>
      <c r="B34" s="23">
        <v>793000</v>
      </c>
      <c r="C34" s="27">
        <v>10242930</v>
      </c>
      <c r="M34" s="27">
        <v>24448.28</v>
      </c>
    </row>
    <row r="35" spans="1:16">
      <c r="A35" s="4" t="s">
        <v>24</v>
      </c>
      <c r="B35" s="23">
        <v>40473357</v>
      </c>
      <c r="C35" s="27">
        <v>55998357</v>
      </c>
      <c r="M35" s="27">
        <v>11495665.390000001</v>
      </c>
    </row>
    <row r="36" spans="1:16">
      <c r="A36" s="4" t="s">
        <v>25</v>
      </c>
      <c r="B36" s="23">
        <v>0</v>
      </c>
      <c r="C36" s="27">
        <v>0</v>
      </c>
    </row>
    <row r="37" spans="1:16">
      <c r="A37" s="4" t="s">
        <v>26</v>
      </c>
      <c r="B37" s="23">
        <f>4170000-1920000</f>
        <v>2250000</v>
      </c>
      <c r="C37" s="27">
        <v>76875000</v>
      </c>
      <c r="M37" s="27">
        <v>2817</v>
      </c>
    </row>
    <row r="38" spans="1:16">
      <c r="A38" s="3" t="s">
        <v>27</v>
      </c>
      <c r="B38" s="26">
        <f>+B39+B40+B42+B43+B41+B44+B45+B46</f>
        <v>5114800</v>
      </c>
      <c r="C38" s="26">
        <f>+C39+C40+C42+C43+C41+C44+C45+C46</f>
        <v>6819800</v>
      </c>
      <c r="D38" s="26">
        <f t="shared" ref="D38:P38" si="3">+D39+D40+D42+D43+D41+D44+D45+D46</f>
        <v>0</v>
      </c>
      <c r="E38" s="26">
        <f t="shared" si="3"/>
        <v>0</v>
      </c>
      <c r="F38" s="26">
        <f t="shared" si="3"/>
        <v>0</v>
      </c>
      <c r="G38" s="26">
        <f t="shared" si="3"/>
        <v>0</v>
      </c>
      <c r="H38" s="26">
        <f t="shared" si="3"/>
        <v>0</v>
      </c>
      <c r="I38" s="26">
        <f t="shared" si="3"/>
        <v>0</v>
      </c>
      <c r="J38" s="26">
        <f t="shared" si="3"/>
        <v>0</v>
      </c>
      <c r="K38" s="26">
        <f t="shared" si="3"/>
        <v>0</v>
      </c>
      <c r="L38" s="26">
        <f t="shared" si="3"/>
        <v>0</v>
      </c>
      <c r="M38" s="26">
        <f t="shared" si="3"/>
        <v>1014296.33</v>
      </c>
      <c r="N38" s="26">
        <f t="shared" si="3"/>
        <v>0</v>
      </c>
      <c r="O38" s="26">
        <f t="shared" si="3"/>
        <v>0</v>
      </c>
      <c r="P38" s="26">
        <f t="shared" si="3"/>
        <v>0</v>
      </c>
    </row>
    <row r="39" spans="1:16">
      <c r="A39" s="4" t="s">
        <v>28</v>
      </c>
      <c r="B39" s="23">
        <v>4544800</v>
      </c>
      <c r="C39" s="27">
        <v>6459800</v>
      </c>
      <c r="M39" s="27">
        <v>0</v>
      </c>
    </row>
    <row r="40" spans="1:16">
      <c r="A40" s="4" t="s">
        <v>29</v>
      </c>
      <c r="B40" s="23">
        <v>420000</v>
      </c>
      <c r="C40" s="27">
        <v>60000</v>
      </c>
      <c r="M40" s="27">
        <v>985871.33</v>
      </c>
    </row>
    <row r="41" spans="1:16">
      <c r="A41" s="4" t="s">
        <v>30</v>
      </c>
      <c r="B41" s="23">
        <v>0</v>
      </c>
      <c r="C41" s="27">
        <v>0</v>
      </c>
    </row>
    <row r="42" spans="1:16">
      <c r="A42" s="4" t="s">
        <v>31</v>
      </c>
      <c r="B42" s="23">
        <v>150000</v>
      </c>
      <c r="C42" s="27">
        <v>300000</v>
      </c>
      <c r="M42" s="27">
        <v>28425</v>
      </c>
    </row>
    <row r="43" spans="1:16">
      <c r="A43" s="4" t="s">
        <v>32</v>
      </c>
      <c r="B43" s="23">
        <v>0</v>
      </c>
      <c r="C43" s="27">
        <v>0</v>
      </c>
    </row>
    <row r="44" spans="1:16">
      <c r="A44" s="4" t="s">
        <v>33</v>
      </c>
      <c r="B44" s="23">
        <v>0</v>
      </c>
      <c r="C44" s="27">
        <v>0</v>
      </c>
    </row>
    <row r="45" spans="1:16">
      <c r="A45" s="4" t="s">
        <v>34</v>
      </c>
      <c r="B45" s="23">
        <v>0</v>
      </c>
      <c r="C45" s="27">
        <v>0</v>
      </c>
    </row>
    <row r="46" spans="1:16">
      <c r="A46" s="4" t="s">
        <v>35</v>
      </c>
      <c r="B46" s="27">
        <v>0</v>
      </c>
      <c r="C46" s="27">
        <v>0</v>
      </c>
    </row>
    <row r="47" spans="1:16">
      <c r="A47" s="3" t="s">
        <v>36</v>
      </c>
      <c r="B47" s="26">
        <f>+B48+B49+B50+B51+B52+B53</f>
        <v>0</v>
      </c>
      <c r="C47" s="26">
        <v>0</v>
      </c>
    </row>
    <row r="48" spans="1:16">
      <c r="A48" s="4" t="s">
        <v>37</v>
      </c>
      <c r="B48" s="23">
        <v>0</v>
      </c>
      <c r="C48" s="27">
        <v>0</v>
      </c>
    </row>
    <row r="49" spans="1:16">
      <c r="A49" s="4" t="s">
        <v>38</v>
      </c>
      <c r="B49" s="23">
        <v>0</v>
      </c>
      <c r="C49" s="27">
        <v>0</v>
      </c>
    </row>
    <row r="50" spans="1:16">
      <c r="A50" s="4" t="s">
        <v>39</v>
      </c>
      <c r="B50" s="23">
        <v>0</v>
      </c>
      <c r="C50" s="27">
        <v>0</v>
      </c>
    </row>
    <row r="51" spans="1:16">
      <c r="A51" s="4" t="s">
        <v>40</v>
      </c>
      <c r="B51" s="23">
        <v>0</v>
      </c>
      <c r="C51" s="27">
        <v>0</v>
      </c>
    </row>
    <row r="52" spans="1:16">
      <c r="A52" s="4" t="s">
        <v>41</v>
      </c>
      <c r="B52" s="23">
        <v>0</v>
      </c>
      <c r="C52" s="27">
        <v>0</v>
      </c>
    </row>
    <row r="53" spans="1:16">
      <c r="A53" s="4" t="s">
        <v>42</v>
      </c>
      <c r="B53" s="23">
        <v>0</v>
      </c>
      <c r="C53" s="27">
        <v>0</v>
      </c>
    </row>
    <row r="54" spans="1:16">
      <c r="A54" s="3" t="s">
        <v>43</v>
      </c>
      <c r="B54" s="24">
        <f>+B55+B56+B57+B58+B59+B60+B61+B62+B63</f>
        <v>3650000</v>
      </c>
      <c r="C54" s="24">
        <f t="shared" ref="C54:P54" si="4">+C55+C56+C57+C58+C59+C60+C61+C62+C63</f>
        <v>211288077.72999999</v>
      </c>
      <c r="D54" s="24">
        <f t="shared" si="4"/>
        <v>0</v>
      </c>
      <c r="E54" s="24">
        <f t="shared" si="4"/>
        <v>0</v>
      </c>
      <c r="F54" s="24">
        <f t="shared" si="4"/>
        <v>0</v>
      </c>
      <c r="G54" s="24">
        <f t="shared" si="4"/>
        <v>0</v>
      </c>
      <c r="H54" s="24">
        <f t="shared" si="4"/>
        <v>0</v>
      </c>
      <c r="I54" s="24">
        <f t="shared" si="4"/>
        <v>0</v>
      </c>
      <c r="J54" s="24">
        <f t="shared" si="4"/>
        <v>0</v>
      </c>
      <c r="K54" s="24">
        <f t="shared" si="4"/>
        <v>0</v>
      </c>
      <c r="L54" s="24">
        <f t="shared" si="4"/>
        <v>0</v>
      </c>
      <c r="M54" s="24">
        <f t="shared" si="4"/>
        <v>909999.89</v>
      </c>
      <c r="N54" s="24">
        <f t="shared" si="4"/>
        <v>0</v>
      </c>
      <c r="O54" s="24">
        <f t="shared" si="4"/>
        <v>0</v>
      </c>
      <c r="P54" s="24">
        <f t="shared" si="4"/>
        <v>0</v>
      </c>
    </row>
    <row r="55" spans="1:16">
      <c r="A55" s="4" t="s">
        <v>44</v>
      </c>
      <c r="B55" s="23">
        <v>3650000</v>
      </c>
      <c r="C55" s="27">
        <v>211288077.72999999</v>
      </c>
      <c r="M55" s="27">
        <v>909999.89</v>
      </c>
    </row>
    <row r="56" spans="1:16">
      <c r="A56" s="4" t="s">
        <v>45</v>
      </c>
      <c r="B56" s="23">
        <v>0</v>
      </c>
      <c r="C56" s="27">
        <v>0</v>
      </c>
    </row>
    <row r="57" spans="1:16">
      <c r="A57" s="4" t="s">
        <v>46</v>
      </c>
      <c r="B57" s="23">
        <v>0</v>
      </c>
      <c r="C57" s="27">
        <v>0</v>
      </c>
    </row>
    <row r="58" spans="1:16">
      <c r="A58" s="4" t="s">
        <v>47</v>
      </c>
      <c r="B58" s="23">
        <v>0</v>
      </c>
      <c r="C58" s="27">
        <v>0</v>
      </c>
    </row>
    <row r="59" spans="1:16">
      <c r="A59" s="4" t="s">
        <v>48</v>
      </c>
      <c r="B59" s="23">
        <v>0</v>
      </c>
      <c r="C59" s="27">
        <v>0</v>
      </c>
    </row>
    <row r="60" spans="1:16">
      <c r="A60" s="4" t="s">
        <v>49</v>
      </c>
      <c r="B60" s="23">
        <v>0</v>
      </c>
      <c r="C60" s="27">
        <v>0</v>
      </c>
    </row>
    <row r="61" spans="1:16">
      <c r="A61" s="4" t="s">
        <v>50</v>
      </c>
      <c r="B61" s="23">
        <v>0</v>
      </c>
      <c r="C61" s="27">
        <v>0</v>
      </c>
    </row>
    <row r="62" spans="1:16">
      <c r="A62" s="4" t="s">
        <v>51</v>
      </c>
      <c r="B62" s="23">
        <v>0</v>
      </c>
      <c r="C62" s="27">
        <v>0</v>
      </c>
    </row>
    <row r="63" spans="1:16">
      <c r="A63" s="4" t="s">
        <v>52</v>
      </c>
      <c r="B63" s="23">
        <v>0</v>
      </c>
      <c r="C63" s="27">
        <v>0</v>
      </c>
    </row>
    <row r="64" spans="1:16">
      <c r="A64" s="3" t="s">
        <v>53</v>
      </c>
      <c r="B64" s="26">
        <f>+B65+B66+B67+B68</f>
        <v>0</v>
      </c>
      <c r="C64" s="26">
        <f t="shared" ref="C64:P64" si="5">+C65+C66+C67+C68</f>
        <v>14000000</v>
      </c>
      <c r="D64" s="26">
        <f t="shared" si="5"/>
        <v>0</v>
      </c>
      <c r="E64" s="26">
        <f t="shared" si="5"/>
        <v>0</v>
      </c>
      <c r="F64" s="26">
        <f t="shared" si="5"/>
        <v>0</v>
      </c>
      <c r="G64" s="26">
        <f t="shared" si="5"/>
        <v>0</v>
      </c>
      <c r="H64" s="26">
        <f t="shared" si="5"/>
        <v>0</v>
      </c>
      <c r="I64" s="26">
        <f t="shared" si="5"/>
        <v>0</v>
      </c>
      <c r="J64" s="26">
        <f t="shared" si="5"/>
        <v>0</v>
      </c>
      <c r="K64" s="26">
        <f t="shared" si="5"/>
        <v>0</v>
      </c>
      <c r="L64" s="26">
        <f t="shared" si="5"/>
        <v>0</v>
      </c>
      <c r="M64" s="26">
        <f t="shared" si="5"/>
        <v>0</v>
      </c>
      <c r="N64" s="26">
        <f t="shared" si="5"/>
        <v>0</v>
      </c>
      <c r="O64" s="26">
        <f t="shared" si="5"/>
        <v>0</v>
      </c>
      <c r="P64" s="26">
        <f t="shared" si="5"/>
        <v>0</v>
      </c>
    </row>
    <row r="65" spans="1:16">
      <c r="A65" s="4" t="s">
        <v>54</v>
      </c>
      <c r="B65" s="23">
        <v>0</v>
      </c>
      <c r="C65" s="27">
        <v>14000000</v>
      </c>
    </row>
    <row r="66" spans="1:16">
      <c r="A66" s="4" t="s">
        <v>55</v>
      </c>
      <c r="B66" s="23">
        <v>0</v>
      </c>
      <c r="C66" s="27">
        <v>0</v>
      </c>
    </row>
    <row r="67" spans="1:16">
      <c r="A67" s="4" t="s">
        <v>56</v>
      </c>
      <c r="B67" s="23">
        <v>0</v>
      </c>
      <c r="C67" s="27">
        <v>0</v>
      </c>
    </row>
    <row r="68" spans="1:16">
      <c r="A68" s="4" t="s">
        <v>57</v>
      </c>
      <c r="B68" s="23">
        <v>0</v>
      </c>
      <c r="C68" s="27">
        <v>0</v>
      </c>
    </row>
    <row r="69" spans="1:16">
      <c r="A69" s="3" t="s">
        <v>58</v>
      </c>
      <c r="B69" s="26">
        <f>+B70+B71+B72</f>
        <v>1920000</v>
      </c>
      <c r="C69" s="26">
        <f t="shared" ref="C69:P69" si="6">+C70+C71+C72</f>
        <v>1700000</v>
      </c>
      <c r="D69" s="26">
        <f t="shared" si="6"/>
        <v>0</v>
      </c>
      <c r="E69" s="26">
        <f t="shared" si="6"/>
        <v>0</v>
      </c>
      <c r="F69" s="26">
        <f t="shared" si="6"/>
        <v>0</v>
      </c>
      <c r="G69" s="26">
        <f t="shared" si="6"/>
        <v>0</v>
      </c>
      <c r="H69" s="26">
        <f t="shared" si="6"/>
        <v>0</v>
      </c>
      <c r="I69" s="26">
        <f t="shared" si="6"/>
        <v>0</v>
      </c>
      <c r="J69" s="26">
        <f t="shared" si="6"/>
        <v>0</v>
      </c>
      <c r="K69" s="26">
        <f t="shared" si="6"/>
        <v>0</v>
      </c>
      <c r="L69" s="26">
        <f t="shared" si="6"/>
        <v>0</v>
      </c>
      <c r="M69" s="26">
        <f t="shared" si="6"/>
        <v>0</v>
      </c>
      <c r="N69" s="26">
        <f t="shared" si="6"/>
        <v>0</v>
      </c>
      <c r="O69" s="26">
        <f t="shared" si="6"/>
        <v>0</v>
      </c>
      <c r="P69" s="26">
        <f t="shared" si="6"/>
        <v>0</v>
      </c>
    </row>
    <row r="70" spans="1:16">
      <c r="A70" s="4" t="s">
        <v>59</v>
      </c>
      <c r="B70" s="23">
        <v>0</v>
      </c>
      <c r="C70" s="27">
        <v>0</v>
      </c>
    </row>
    <row r="71" spans="1:16">
      <c r="A71" s="4" t="s">
        <v>60</v>
      </c>
      <c r="B71" s="23">
        <v>0</v>
      </c>
      <c r="C71" s="27">
        <v>0</v>
      </c>
    </row>
    <row r="72" spans="1:16">
      <c r="A72" s="25" t="s">
        <v>97</v>
      </c>
      <c r="B72" s="23">
        <v>1920000</v>
      </c>
      <c r="C72" s="27">
        <v>1700000</v>
      </c>
    </row>
    <row r="73" spans="1:16">
      <c r="A73" s="3" t="s">
        <v>61</v>
      </c>
      <c r="B73" s="27">
        <f>+B74+B75+B76</f>
        <v>0</v>
      </c>
      <c r="C73" s="26">
        <f t="shared" ref="C73:P73" si="7">+C74+C75+C76</f>
        <v>20000</v>
      </c>
      <c r="D73" s="27">
        <f t="shared" si="7"/>
        <v>0</v>
      </c>
      <c r="E73" s="27">
        <f t="shared" si="7"/>
        <v>0</v>
      </c>
      <c r="F73" s="27">
        <f t="shared" si="7"/>
        <v>0</v>
      </c>
      <c r="G73" s="27">
        <f t="shared" si="7"/>
        <v>0</v>
      </c>
      <c r="H73" s="27">
        <f t="shared" si="7"/>
        <v>0</v>
      </c>
      <c r="I73" s="27">
        <f t="shared" si="7"/>
        <v>0</v>
      </c>
      <c r="J73" s="27">
        <f t="shared" si="7"/>
        <v>0</v>
      </c>
      <c r="K73" s="27">
        <f t="shared" si="7"/>
        <v>0</v>
      </c>
      <c r="L73" s="27">
        <f t="shared" si="7"/>
        <v>0</v>
      </c>
      <c r="M73" s="27">
        <f t="shared" si="7"/>
        <v>0</v>
      </c>
      <c r="N73" s="27">
        <f t="shared" si="7"/>
        <v>0</v>
      </c>
      <c r="O73" s="27">
        <f t="shared" si="7"/>
        <v>0</v>
      </c>
      <c r="P73" s="27">
        <f t="shared" si="7"/>
        <v>0</v>
      </c>
    </row>
    <row r="74" spans="1:16">
      <c r="A74" s="4" t="s">
        <v>62</v>
      </c>
      <c r="B74" s="23">
        <v>0</v>
      </c>
      <c r="C74" s="27">
        <v>0</v>
      </c>
    </row>
    <row r="75" spans="1:16">
      <c r="A75" s="4" t="s">
        <v>63</v>
      </c>
      <c r="B75" s="23">
        <v>0</v>
      </c>
      <c r="C75" s="27">
        <v>0</v>
      </c>
    </row>
    <row r="76" spans="1:16">
      <c r="A76" s="4" t="s">
        <v>64</v>
      </c>
      <c r="B76" s="23">
        <v>0</v>
      </c>
      <c r="C76" s="27">
        <v>20000</v>
      </c>
    </row>
    <row r="77" spans="1:16">
      <c r="A77" s="1" t="s">
        <v>69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1:16">
      <c r="A78" s="3" t="s">
        <v>70</v>
      </c>
      <c r="B78" s="26">
        <f>+B79+B80</f>
        <v>0</v>
      </c>
      <c r="C78" s="26">
        <f t="shared" ref="C78:P78" si="8">+C79+C80</f>
        <v>0</v>
      </c>
      <c r="D78" s="26">
        <f t="shared" si="8"/>
        <v>0</v>
      </c>
      <c r="E78" s="26">
        <f t="shared" si="8"/>
        <v>0</v>
      </c>
      <c r="F78" s="26">
        <f t="shared" si="8"/>
        <v>0</v>
      </c>
      <c r="G78" s="26">
        <f t="shared" si="8"/>
        <v>0</v>
      </c>
      <c r="H78" s="26">
        <f t="shared" si="8"/>
        <v>0</v>
      </c>
      <c r="I78" s="26">
        <f t="shared" si="8"/>
        <v>0</v>
      </c>
      <c r="J78" s="26">
        <f t="shared" si="8"/>
        <v>0</v>
      </c>
      <c r="K78" s="26">
        <f t="shared" si="8"/>
        <v>0</v>
      </c>
      <c r="L78" s="26">
        <f t="shared" si="8"/>
        <v>0</v>
      </c>
      <c r="M78" s="26">
        <f t="shared" si="8"/>
        <v>0</v>
      </c>
      <c r="N78" s="26">
        <f t="shared" si="8"/>
        <v>0</v>
      </c>
      <c r="O78" s="26">
        <f t="shared" si="8"/>
        <v>0</v>
      </c>
      <c r="P78" s="26">
        <f t="shared" si="8"/>
        <v>0</v>
      </c>
    </row>
    <row r="79" spans="1:16">
      <c r="A79" s="4" t="s">
        <v>71</v>
      </c>
      <c r="B79" s="23">
        <v>0</v>
      </c>
      <c r="C79" s="27">
        <v>0</v>
      </c>
    </row>
    <row r="80" spans="1:16">
      <c r="A80" s="4" t="s">
        <v>72</v>
      </c>
      <c r="B80" s="23">
        <v>0</v>
      </c>
      <c r="C80" s="27">
        <v>0</v>
      </c>
    </row>
    <row r="81" spans="1:16">
      <c r="A81" s="3" t="s">
        <v>73</v>
      </c>
      <c r="B81" s="26">
        <f>+B82+B83</f>
        <v>0</v>
      </c>
      <c r="C81" s="26">
        <f t="shared" ref="C81:P81" si="9">+C82+C83</f>
        <v>0</v>
      </c>
      <c r="D81" s="26">
        <f t="shared" si="9"/>
        <v>0</v>
      </c>
      <c r="E81" s="26">
        <f t="shared" si="9"/>
        <v>0</v>
      </c>
      <c r="F81" s="26">
        <f t="shared" si="9"/>
        <v>0</v>
      </c>
      <c r="G81" s="26">
        <f t="shared" si="9"/>
        <v>0</v>
      </c>
      <c r="H81" s="26">
        <f t="shared" si="9"/>
        <v>0</v>
      </c>
      <c r="I81" s="26">
        <f t="shared" si="9"/>
        <v>0</v>
      </c>
      <c r="J81" s="26">
        <f t="shared" si="9"/>
        <v>0</v>
      </c>
      <c r="K81" s="26">
        <f t="shared" si="9"/>
        <v>0</v>
      </c>
      <c r="L81" s="26">
        <f t="shared" si="9"/>
        <v>0</v>
      </c>
      <c r="M81" s="26">
        <f t="shared" si="9"/>
        <v>0</v>
      </c>
      <c r="N81" s="26">
        <f t="shared" si="9"/>
        <v>0</v>
      </c>
      <c r="O81" s="26">
        <f t="shared" si="9"/>
        <v>0</v>
      </c>
      <c r="P81" s="26">
        <f t="shared" si="9"/>
        <v>0</v>
      </c>
    </row>
    <row r="82" spans="1:16">
      <c r="A82" s="4" t="s">
        <v>74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</row>
    <row r="83" spans="1:16">
      <c r="A83" s="4" t="s">
        <v>75</v>
      </c>
      <c r="B83" s="23">
        <v>0</v>
      </c>
    </row>
    <row r="84" spans="1:16">
      <c r="A84" s="3" t="s">
        <v>76</v>
      </c>
      <c r="B84" s="26">
        <f>+B85</f>
        <v>0</v>
      </c>
      <c r="C84" s="26">
        <f t="shared" ref="C84:P84" si="10">+C85</f>
        <v>0</v>
      </c>
      <c r="D84" s="26">
        <f t="shared" si="10"/>
        <v>0</v>
      </c>
      <c r="E84" s="26">
        <f t="shared" si="10"/>
        <v>0</v>
      </c>
      <c r="F84" s="26">
        <f t="shared" si="10"/>
        <v>0</v>
      </c>
      <c r="G84" s="26">
        <f t="shared" si="10"/>
        <v>0</v>
      </c>
      <c r="H84" s="26">
        <f t="shared" si="10"/>
        <v>0</v>
      </c>
      <c r="I84" s="26">
        <f t="shared" si="10"/>
        <v>0</v>
      </c>
      <c r="J84" s="26">
        <f t="shared" si="10"/>
        <v>0</v>
      </c>
      <c r="K84" s="26">
        <f t="shared" si="10"/>
        <v>0</v>
      </c>
      <c r="L84" s="26">
        <f t="shared" si="10"/>
        <v>0</v>
      </c>
      <c r="M84" s="26">
        <f t="shared" si="10"/>
        <v>0</v>
      </c>
      <c r="N84" s="26">
        <f t="shared" si="10"/>
        <v>0</v>
      </c>
      <c r="O84" s="26">
        <f t="shared" si="10"/>
        <v>0</v>
      </c>
      <c r="P84" s="26">
        <f t="shared" si="10"/>
        <v>0</v>
      </c>
    </row>
    <row r="85" spans="1:16">
      <c r="A85" s="4" t="s">
        <v>77</v>
      </c>
      <c r="B85" s="23">
        <v>0</v>
      </c>
    </row>
    <row r="86" spans="1:16">
      <c r="A86" s="29" t="s">
        <v>65</v>
      </c>
      <c r="B86" s="30">
        <f>+B69+B54+B38+B28+B18+B12</f>
        <v>1355634688</v>
      </c>
      <c r="C86" s="30">
        <f>+C73+C69+C64+C54+C38+C28+C18+C12</f>
        <v>1814657218.9999998</v>
      </c>
      <c r="D86" s="30">
        <f t="shared" ref="D86:P86" si="11">+D69+D54+D38+D28+D18+D12</f>
        <v>0</v>
      </c>
      <c r="E86" s="30">
        <f t="shared" si="11"/>
        <v>0</v>
      </c>
      <c r="F86" s="30">
        <f t="shared" si="11"/>
        <v>0</v>
      </c>
      <c r="G86" s="30">
        <f t="shared" si="11"/>
        <v>0</v>
      </c>
      <c r="H86" s="30">
        <f t="shared" si="11"/>
        <v>0</v>
      </c>
      <c r="I86" s="30">
        <f t="shared" si="11"/>
        <v>0</v>
      </c>
      <c r="J86" s="30">
        <f t="shared" si="11"/>
        <v>0</v>
      </c>
      <c r="K86" s="30">
        <f t="shared" si="11"/>
        <v>0</v>
      </c>
      <c r="L86" s="30">
        <f t="shared" si="11"/>
        <v>0</v>
      </c>
      <c r="M86" s="30">
        <f>+M69+M54+M38+M28+M18+M12</f>
        <v>128047452</v>
      </c>
      <c r="N86" s="30">
        <f t="shared" si="11"/>
        <v>0</v>
      </c>
      <c r="O86" s="30">
        <f t="shared" si="11"/>
        <v>0</v>
      </c>
      <c r="P86" s="30">
        <f t="shared" si="11"/>
        <v>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46" right="0.31" top="0.44" bottom="0.22" header="0.3" footer="0.17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13" t="s">
        <v>78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3:17" ht="21" customHeight="1">
      <c r="C4" s="15" t="s">
        <v>67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3:17" ht="15.75">
      <c r="C5" s="20" t="s">
        <v>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3:17" ht="15.75" customHeight="1">
      <c r="C6" s="22" t="s">
        <v>94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3:17" ht="15.75" customHeight="1">
      <c r="C7" s="12" t="s">
        <v>79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0"/>
  <sheetViews>
    <sheetView topLeftCell="A210" workbookViewId="0">
      <selection activeCell="H220" sqref="H220"/>
    </sheetView>
  </sheetViews>
  <sheetFormatPr baseColWidth="10" defaultRowHeight="15"/>
  <cols>
    <col min="1" max="1" width="10.85546875" bestFit="1" customWidth="1"/>
    <col min="2" max="2" width="43.42578125" customWidth="1"/>
    <col min="3" max="3" width="16.85546875" bestFit="1" customWidth="1"/>
    <col min="4" max="4" width="15.140625" bestFit="1" customWidth="1"/>
    <col min="5" max="5" width="16.85546875" bestFit="1" customWidth="1"/>
  </cols>
  <sheetData>
    <row r="1" spans="1:5" ht="15.75" customHeight="1">
      <c r="A1" s="37" t="s">
        <v>98</v>
      </c>
      <c r="B1" s="38" t="s">
        <v>99</v>
      </c>
      <c r="C1" s="39">
        <v>2021</v>
      </c>
      <c r="D1" s="40" t="s">
        <v>100</v>
      </c>
      <c r="E1" s="102"/>
    </row>
    <row r="2" spans="1:5" ht="16.5" thickBot="1">
      <c r="A2" s="93"/>
      <c r="B2" s="94"/>
      <c r="C2" s="95" t="s">
        <v>101</v>
      </c>
      <c r="D2" s="96" t="s">
        <v>102</v>
      </c>
      <c r="E2" s="103"/>
    </row>
    <row r="3" spans="1:5">
      <c r="A3" s="97" t="s">
        <v>103</v>
      </c>
      <c r="B3" s="98" t="s">
        <v>104</v>
      </c>
      <c r="C3" s="52">
        <f>+C4+C5+C6+C7+C8+C9+C10+C11+C12+C13+C14+C15+C16+C17+C18+C19+C20+C21+C22</f>
        <v>1149483133</v>
      </c>
      <c r="D3" s="52">
        <f>SUM(D4:D22)</f>
        <v>152516112.94999999</v>
      </c>
      <c r="E3" s="41">
        <f>SUM(E4:E22)</f>
        <v>1301999245.9499998</v>
      </c>
    </row>
    <row r="4" spans="1:5">
      <c r="A4" s="42" t="s">
        <v>105</v>
      </c>
      <c r="B4" s="43" t="s">
        <v>106</v>
      </c>
      <c r="C4" s="44">
        <f>75104576*12-50000000-14035000-8000000-2800000-100000-16300000-200000-21000000-19605675.58+8755125-16200000-6592470-261846.06</f>
        <v>754915045.36000001</v>
      </c>
      <c r="D4" s="44">
        <v>145349711.94999999</v>
      </c>
      <c r="E4" s="89">
        <f>SUM(C4:D4)</f>
        <v>900264757.30999994</v>
      </c>
    </row>
    <row r="5" spans="1:5">
      <c r="A5" s="45" t="s">
        <v>107</v>
      </c>
      <c r="B5" s="46" t="s">
        <v>108</v>
      </c>
      <c r="C5" s="44">
        <v>0</v>
      </c>
      <c r="D5" s="44">
        <v>4995000</v>
      </c>
      <c r="E5" s="89">
        <f>SUM(C5:D5)</f>
        <v>4995000</v>
      </c>
    </row>
    <row r="6" spans="1:5">
      <c r="A6" s="42" t="s">
        <v>109</v>
      </c>
      <c r="B6" s="43" t="s">
        <v>110</v>
      </c>
      <c r="C6" s="44">
        <f>12000000*12+2800000+16300000+16200000</f>
        <v>179300000</v>
      </c>
      <c r="D6" s="44">
        <v>0</v>
      </c>
      <c r="E6" s="89">
        <f>SUM(C6:D6)</f>
        <v>179300000</v>
      </c>
    </row>
    <row r="7" spans="1:5">
      <c r="A7" s="42" t="s">
        <v>111</v>
      </c>
      <c r="B7" s="43" t="s">
        <v>112</v>
      </c>
      <c r="C7" s="44">
        <f>1000000+100000+200000+261846.06</f>
        <v>1561846.06</v>
      </c>
      <c r="D7" s="44">
        <v>0</v>
      </c>
      <c r="E7" s="89">
        <f>SUM(C7:D7)</f>
        <v>1561846.06</v>
      </c>
    </row>
    <row r="8" spans="1:5">
      <c r="A8" s="42" t="s">
        <v>113</v>
      </c>
      <c r="B8" s="43" t="s">
        <v>114</v>
      </c>
      <c r="C8" s="44">
        <v>0</v>
      </c>
      <c r="D8" s="44">
        <v>0</v>
      </c>
      <c r="E8" s="89">
        <f>SUM(C8:D8)</f>
        <v>0</v>
      </c>
    </row>
    <row r="9" spans="1:5">
      <c r="A9" s="45" t="s">
        <v>115</v>
      </c>
      <c r="B9" s="46" t="s">
        <v>116</v>
      </c>
      <c r="C9" s="44">
        <v>0</v>
      </c>
      <c r="D9" s="44">
        <v>0</v>
      </c>
      <c r="E9" s="89">
        <f>SUM(C9:D9)</f>
        <v>0</v>
      </c>
    </row>
    <row r="10" spans="1:5">
      <c r="A10" s="42" t="s">
        <v>117</v>
      </c>
      <c r="B10" s="43" t="s">
        <v>118</v>
      </c>
      <c r="C10" s="44">
        <v>87104576</v>
      </c>
      <c r="D10" s="44">
        <v>0</v>
      </c>
      <c r="E10" s="89">
        <f>SUM(C10:D10)</f>
        <v>87104576</v>
      </c>
    </row>
    <row r="11" spans="1:5">
      <c r="A11" s="45" t="s">
        <v>119</v>
      </c>
      <c r="B11" s="47" t="s">
        <v>120</v>
      </c>
      <c r="C11" s="44">
        <v>26662095</v>
      </c>
      <c r="D11" s="44">
        <v>801900</v>
      </c>
      <c r="E11" s="89">
        <f>SUM(C11:D11)</f>
        <v>27463995</v>
      </c>
    </row>
    <row r="12" spans="1:5">
      <c r="A12" s="42" t="s">
        <v>121</v>
      </c>
      <c r="B12" s="43" t="s">
        <v>122</v>
      </c>
      <c r="C12" s="44">
        <f>1560000-1500000-50000</f>
        <v>10000</v>
      </c>
      <c r="D12" s="44">
        <v>0</v>
      </c>
      <c r="E12" s="89">
        <f>SUM(C12:D12)</f>
        <v>10000</v>
      </c>
    </row>
    <row r="13" spans="1:5">
      <c r="A13" s="42" t="s">
        <v>123</v>
      </c>
      <c r="B13" s="43" t="s">
        <v>124</v>
      </c>
      <c r="C13" s="44">
        <f>2100000-100000</f>
        <v>2000000</v>
      </c>
      <c r="D13" s="44">
        <v>0</v>
      </c>
      <c r="E13" s="89">
        <f>SUM(C13:D13)</f>
        <v>2000000</v>
      </c>
    </row>
    <row r="14" spans="1:5">
      <c r="A14" s="42" t="s">
        <v>125</v>
      </c>
      <c r="B14" s="43" t="s">
        <v>126</v>
      </c>
      <c r="C14" s="44">
        <f>546000+100000+50000</f>
        <v>696000</v>
      </c>
      <c r="D14" s="44">
        <v>0</v>
      </c>
      <c r="E14" s="89">
        <f>SUM(C14:D14)</f>
        <v>696000</v>
      </c>
    </row>
    <row r="15" spans="1:5">
      <c r="A15" s="45" t="s">
        <v>127</v>
      </c>
      <c r="B15" s="46" t="s">
        <v>128</v>
      </c>
      <c r="C15" s="44">
        <f>50000000+59000+19605675.58+6592470</f>
        <v>76257145.579999998</v>
      </c>
      <c r="D15" s="44">
        <v>999000</v>
      </c>
      <c r="E15" s="89">
        <f>SUM(C15:D15)</f>
        <v>77256145.579999998</v>
      </c>
    </row>
    <row r="16" spans="1:5">
      <c r="A16" s="42" t="s">
        <v>129</v>
      </c>
      <c r="B16" s="43" t="s">
        <v>130</v>
      </c>
      <c r="C16" s="44">
        <f>50000+200000</f>
        <v>250000</v>
      </c>
      <c r="D16" s="44">
        <v>0</v>
      </c>
      <c r="E16" s="89">
        <f>SUM(C16:D16)</f>
        <v>250000</v>
      </c>
    </row>
    <row r="17" spans="1:5">
      <c r="A17" s="45" t="s">
        <v>131</v>
      </c>
      <c r="B17" s="48" t="s">
        <v>132</v>
      </c>
      <c r="C17" s="44">
        <f>450000+100000</f>
        <v>550000</v>
      </c>
      <c r="D17" s="44">
        <v>0</v>
      </c>
      <c r="E17" s="89">
        <f>SUM(C17:D17)</f>
        <v>550000</v>
      </c>
    </row>
    <row r="18" spans="1:5">
      <c r="A18" s="42" t="s">
        <v>133</v>
      </c>
      <c r="B18" s="43" t="s">
        <v>134</v>
      </c>
      <c r="C18" s="44">
        <v>400000</v>
      </c>
      <c r="D18" s="44">
        <v>0</v>
      </c>
      <c r="E18" s="89">
        <f>SUM(C18:D18)</f>
        <v>400000</v>
      </c>
    </row>
    <row r="19" spans="1:5">
      <c r="A19" s="42" t="s">
        <v>135</v>
      </c>
      <c r="B19" s="43" t="s">
        <v>136</v>
      </c>
      <c r="C19" s="44">
        <f>2000000-1000000-200000-100000-700000</f>
        <v>0</v>
      </c>
      <c r="D19" s="44">
        <v>0</v>
      </c>
      <c r="E19" s="89">
        <f>SUM(C19:D19)</f>
        <v>0</v>
      </c>
    </row>
    <row r="20" spans="1:5">
      <c r="A20" s="42" t="s">
        <v>137</v>
      </c>
      <c r="B20" s="43" t="s">
        <v>138</v>
      </c>
      <c r="C20" s="44">
        <f>1420000*12</f>
        <v>17040000</v>
      </c>
      <c r="D20" s="44">
        <v>319710</v>
      </c>
      <c r="E20" s="89">
        <f>SUM(C20:D20)</f>
        <v>17359710</v>
      </c>
    </row>
    <row r="21" spans="1:5">
      <c r="A21" s="42" t="s">
        <v>139</v>
      </c>
      <c r="B21" s="43" t="s">
        <v>140</v>
      </c>
      <c r="C21" s="49">
        <f>8196425-6000000-2000000-100000</f>
        <v>96425</v>
      </c>
      <c r="D21" s="44">
        <v>0</v>
      </c>
      <c r="E21" s="89">
        <f>SUM(C21:D21)</f>
        <v>96425</v>
      </c>
    </row>
    <row r="22" spans="1:5">
      <c r="A22" s="45" t="s">
        <v>141</v>
      </c>
      <c r="B22" s="46" t="s">
        <v>142</v>
      </c>
      <c r="C22" s="44">
        <f>220000*12</f>
        <v>2640000</v>
      </c>
      <c r="D22" s="44">
        <v>50791</v>
      </c>
      <c r="E22" s="89">
        <f>SUM(C22:D22)</f>
        <v>2690791</v>
      </c>
    </row>
    <row r="23" spans="1:5">
      <c r="A23" s="50" t="s">
        <v>143</v>
      </c>
      <c r="B23" s="51" t="s">
        <v>144</v>
      </c>
      <c r="C23" s="52">
        <f>+C25+C26+C27+C28+C29+C30</f>
        <v>23567492</v>
      </c>
      <c r="D23" s="52">
        <f>+D26+D27+D28+D29+D30</f>
        <v>0</v>
      </c>
      <c r="E23" s="92">
        <f>SUM(C23:D23)</f>
        <v>23567492</v>
      </c>
    </row>
    <row r="24" spans="1:5">
      <c r="A24" s="42" t="s">
        <v>145</v>
      </c>
      <c r="B24" s="43" t="s">
        <v>146</v>
      </c>
      <c r="C24" s="53"/>
      <c r="D24" s="44"/>
      <c r="E24" s="90"/>
    </row>
    <row r="25" spans="1:5">
      <c r="A25" s="42" t="s">
        <v>147</v>
      </c>
      <c r="B25" s="43" t="s">
        <v>148</v>
      </c>
      <c r="C25" s="44">
        <f>10000+1000+1000</f>
        <v>12000</v>
      </c>
      <c r="D25" s="44">
        <v>0</v>
      </c>
      <c r="E25" s="89">
        <f>SUM(C25:D25)</f>
        <v>12000</v>
      </c>
    </row>
    <row r="26" spans="1:5">
      <c r="A26" s="42" t="s">
        <v>149</v>
      </c>
      <c r="B26" s="43" t="s">
        <v>150</v>
      </c>
      <c r="C26" s="44">
        <f>22950000-2500000-1000000-2000000</f>
        <v>17450000</v>
      </c>
      <c r="D26" s="44">
        <v>0</v>
      </c>
      <c r="E26" s="89">
        <f>SUM(C26:D26)</f>
        <v>17450000</v>
      </c>
    </row>
    <row r="27" spans="1:5">
      <c r="A27" s="42" t="s">
        <v>151</v>
      </c>
      <c r="B27" s="43" t="s">
        <v>152</v>
      </c>
      <c r="C27" s="44">
        <f>1310000+2000000+2000000+500000</f>
        <v>5810000</v>
      </c>
      <c r="D27" s="44">
        <v>0</v>
      </c>
      <c r="E27" s="89">
        <f>SUM(C27:D27)</f>
        <v>5810000</v>
      </c>
    </row>
    <row r="28" spans="1:5">
      <c r="A28" s="42" t="s">
        <v>153</v>
      </c>
      <c r="B28" s="43" t="s">
        <v>154</v>
      </c>
      <c r="C28" s="44">
        <v>0</v>
      </c>
      <c r="D28" s="44">
        <v>0</v>
      </c>
      <c r="E28" s="89">
        <f>SUM(C28:D28)</f>
        <v>0</v>
      </c>
    </row>
    <row r="29" spans="1:5">
      <c r="A29" s="42" t="s">
        <v>155</v>
      </c>
      <c r="B29" s="43" t="s">
        <v>156</v>
      </c>
      <c r="C29" s="44">
        <v>260000</v>
      </c>
      <c r="D29" s="44">
        <v>0</v>
      </c>
      <c r="E29" s="89">
        <f>SUM(C29:D29)</f>
        <v>260000</v>
      </c>
    </row>
    <row r="30" spans="1:5">
      <c r="A30" s="42" t="s">
        <v>157</v>
      </c>
      <c r="B30" s="43" t="s">
        <v>158</v>
      </c>
      <c r="C30" s="44">
        <f>13992+1500+20000</f>
        <v>35492</v>
      </c>
      <c r="D30" s="44">
        <v>0</v>
      </c>
      <c r="E30" s="89">
        <f>SUM(C30:D30)</f>
        <v>35492</v>
      </c>
    </row>
    <row r="31" spans="1:5">
      <c r="A31" s="50" t="s">
        <v>159</v>
      </c>
      <c r="B31" s="51" t="s">
        <v>160</v>
      </c>
      <c r="C31" s="52">
        <f>SUM(C32:C33)</f>
        <v>466500</v>
      </c>
      <c r="D31" s="52">
        <f t="shared" ref="D31" si="0">+D32+D33</f>
        <v>1209590</v>
      </c>
      <c r="E31" s="92">
        <f>SUM(C31:D31)</f>
        <v>1676090</v>
      </c>
    </row>
    <row r="32" spans="1:5">
      <c r="A32" s="42" t="s">
        <v>161</v>
      </c>
      <c r="B32" s="43" t="s">
        <v>162</v>
      </c>
      <c r="C32" s="44">
        <f>350000-31000</f>
        <v>319000</v>
      </c>
      <c r="D32" s="44">
        <v>1209590</v>
      </c>
      <c r="E32" s="89">
        <f>SUM(C32:D32)</f>
        <v>1528590</v>
      </c>
    </row>
    <row r="33" spans="1:5">
      <c r="A33" s="42" t="s">
        <v>163</v>
      </c>
      <c r="B33" s="43" t="s">
        <v>164</v>
      </c>
      <c r="C33" s="44">
        <f>150000-1500-1000</f>
        <v>147500</v>
      </c>
      <c r="D33" s="44">
        <v>0</v>
      </c>
      <c r="E33" s="89">
        <f>SUM(C33:D33)</f>
        <v>147500</v>
      </c>
    </row>
    <row r="34" spans="1:5">
      <c r="A34" s="50" t="s">
        <v>165</v>
      </c>
      <c r="B34" s="51" t="s">
        <v>166</v>
      </c>
      <c r="C34" s="52">
        <f>SUM(C35:C36)</f>
        <v>4350000</v>
      </c>
      <c r="D34" s="52">
        <f t="shared" ref="D34" si="1">+D35+D36</f>
        <v>0</v>
      </c>
      <c r="E34" s="92">
        <f>SUM(C34:D34)</f>
        <v>4350000</v>
      </c>
    </row>
    <row r="35" spans="1:5">
      <c r="A35" s="42" t="s">
        <v>167</v>
      </c>
      <c r="B35" s="43" t="s">
        <v>168</v>
      </c>
      <c r="C35" s="44">
        <f>3000000+200000+500000</f>
        <v>3700000</v>
      </c>
      <c r="D35" s="44">
        <v>0</v>
      </c>
      <c r="E35" s="89">
        <f>SUM(C35:D35)</f>
        <v>3700000</v>
      </c>
    </row>
    <row r="36" spans="1:5">
      <c r="A36" s="42" t="s">
        <v>169</v>
      </c>
      <c r="B36" s="43" t="s">
        <v>170</v>
      </c>
      <c r="C36" s="44">
        <f>850000-200000</f>
        <v>650000</v>
      </c>
      <c r="D36" s="44">
        <v>0</v>
      </c>
      <c r="E36" s="89">
        <f>SUM(C36:D36)</f>
        <v>650000</v>
      </c>
    </row>
    <row r="37" spans="1:5">
      <c r="A37" s="50" t="s">
        <v>171</v>
      </c>
      <c r="B37" s="51" t="s">
        <v>172</v>
      </c>
      <c r="C37" s="52">
        <f>+C38+C39+C40+C41+C43</f>
        <v>631000</v>
      </c>
      <c r="D37" s="52">
        <f>+D39+D40+D41+D43</f>
        <v>0</v>
      </c>
      <c r="E37" s="92">
        <f>SUM(C37:D37)</f>
        <v>631000</v>
      </c>
    </row>
    <row r="38" spans="1:5">
      <c r="A38" s="42" t="s">
        <v>173</v>
      </c>
      <c r="B38" s="43" t="s">
        <v>174</v>
      </c>
      <c r="C38" s="44">
        <f>300000+130000+31000</f>
        <v>461000</v>
      </c>
      <c r="D38" s="44">
        <v>0</v>
      </c>
      <c r="E38" s="89">
        <f>SUM(C38:D38)</f>
        <v>461000</v>
      </c>
    </row>
    <row r="39" spans="1:5">
      <c r="A39" s="42" t="s">
        <v>175</v>
      </c>
      <c r="B39" s="43" t="s">
        <v>176</v>
      </c>
      <c r="C39" s="44">
        <v>0</v>
      </c>
      <c r="D39" s="44">
        <v>0</v>
      </c>
      <c r="E39" s="89">
        <f>SUM(C39:D39)</f>
        <v>0</v>
      </c>
    </row>
    <row r="40" spans="1:5">
      <c r="A40" s="42" t="s">
        <v>177</v>
      </c>
      <c r="B40" s="43" t="s">
        <v>178</v>
      </c>
      <c r="C40" s="44">
        <v>0</v>
      </c>
      <c r="D40" s="44">
        <v>0</v>
      </c>
      <c r="E40" s="89">
        <f>SUM(C40:D40)</f>
        <v>0</v>
      </c>
    </row>
    <row r="41" spans="1:5">
      <c r="A41" s="42" t="s">
        <v>179</v>
      </c>
      <c r="B41" s="43" t="s">
        <v>180</v>
      </c>
      <c r="C41" s="44">
        <f>170000-100000</f>
        <v>70000</v>
      </c>
      <c r="D41" s="44">
        <v>0</v>
      </c>
      <c r="E41" s="89">
        <f>SUM(C41:D41)</f>
        <v>70000</v>
      </c>
    </row>
    <row r="42" spans="1:5">
      <c r="A42" s="42" t="s">
        <v>181</v>
      </c>
      <c r="B42" s="43" t="s">
        <v>182</v>
      </c>
      <c r="C42" s="44"/>
      <c r="D42" s="44"/>
      <c r="E42" s="90"/>
    </row>
    <row r="43" spans="1:5">
      <c r="A43" s="42" t="s">
        <v>183</v>
      </c>
      <c r="B43" s="43" t="s">
        <v>184</v>
      </c>
      <c r="C43" s="44">
        <f>500000-400000</f>
        <v>100000</v>
      </c>
      <c r="D43" s="44">
        <v>0</v>
      </c>
      <c r="E43" s="89">
        <f>SUM(C43:D43)</f>
        <v>100000</v>
      </c>
    </row>
    <row r="44" spans="1:5">
      <c r="A44" s="50" t="s">
        <v>185</v>
      </c>
      <c r="B44" s="51" t="s">
        <v>186</v>
      </c>
      <c r="C44" s="52">
        <f>+C45+C46+C47+C48</f>
        <v>7700000</v>
      </c>
      <c r="D44" s="52">
        <f>+D45+D47+D48</f>
        <v>0</v>
      </c>
      <c r="E44" s="92">
        <f>SUM(C44:D44)</f>
        <v>7700000</v>
      </c>
    </row>
    <row r="45" spans="1:5">
      <c r="A45" s="42" t="s">
        <v>187</v>
      </c>
      <c r="B45" s="43" t="s">
        <v>188</v>
      </c>
      <c r="C45" s="44">
        <f>6000000+800000</f>
        <v>6800000</v>
      </c>
      <c r="D45" s="44">
        <v>0</v>
      </c>
      <c r="E45" s="89">
        <f>SUM(C45:D45)</f>
        <v>6800000</v>
      </c>
    </row>
    <row r="46" spans="1:5" ht="30">
      <c r="A46" s="45" t="s">
        <v>189</v>
      </c>
      <c r="B46" s="46" t="s">
        <v>190</v>
      </c>
      <c r="C46" s="44">
        <v>0</v>
      </c>
      <c r="D46" s="44">
        <v>0</v>
      </c>
      <c r="E46" s="89">
        <f>SUM(C46:D46)</f>
        <v>0</v>
      </c>
    </row>
    <row r="47" spans="1:5">
      <c r="A47" s="42" t="s">
        <v>191</v>
      </c>
      <c r="B47" s="46" t="s">
        <v>192</v>
      </c>
      <c r="C47" s="44">
        <v>600000</v>
      </c>
      <c r="D47" s="44">
        <v>0</v>
      </c>
      <c r="E47" s="89">
        <f>SUM(C47:D47)</f>
        <v>600000</v>
      </c>
    </row>
    <row r="48" spans="1:5">
      <c r="A48" s="42" t="s">
        <v>193</v>
      </c>
      <c r="B48" s="46" t="s">
        <v>194</v>
      </c>
      <c r="C48" s="49">
        <v>300000</v>
      </c>
      <c r="D48" s="91"/>
      <c r="E48" s="89">
        <f>SUM(C48:D48)</f>
        <v>300000</v>
      </c>
    </row>
    <row r="49" spans="1:5">
      <c r="A49" s="50" t="s">
        <v>195</v>
      </c>
      <c r="B49" s="51" t="s">
        <v>196</v>
      </c>
      <c r="C49" s="52">
        <f>+C50+C51</f>
        <v>4455000</v>
      </c>
      <c r="D49" s="52">
        <f>+D50</f>
        <v>0</v>
      </c>
      <c r="E49" s="92">
        <f>SUM(C49:D49)</f>
        <v>4455000</v>
      </c>
    </row>
    <row r="50" spans="1:5">
      <c r="A50" s="42" t="s">
        <v>197</v>
      </c>
      <c r="B50" s="43" t="s">
        <v>198</v>
      </c>
      <c r="C50" s="44">
        <f>7000000-2100000-5000-1000000+350000</f>
        <v>4245000</v>
      </c>
      <c r="D50" s="54"/>
      <c r="E50" s="89">
        <f>SUM(C50:D50)</f>
        <v>4245000</v>
      </c>
    </row>
    <row r="51" spans="1:5">
      <c r="A51" s="42" t="s">
        <v>199</v>
      </c>
      <c r="B51" s="43" t="s">
        <v>200</v>
      </c>
      <c r="C51" s="44">
        <f>100000+100000+10000</f>
        <v>210000</v>
      </c>
      <c r="D51" s="54">
        <v>0</v>
      </c>
      <c r="E51" s="89">
        <f>SUM(C51:D51)</f>
        <v>210000</v>
      </c>
    </row>
    <row r="52" spans="1:5">
      <c r="A52" s="50" t="s">
        <v>201</v>
      </c>
      <c r="B52" s="51" t="s">
        <v>202</v>
      </c>
      <c r="C52" s="52">
        <f>SUM(C53:C64)</f>
        <v>6835000</v>
      </c>
      <c r="D52" s="52">
        <f>+D53+D55+D56+D57+D58+D59+D60+D61+D62+D63+D64</f>
        <v>2682842.3199999998</v>
      </c>
      <c r="E52" s="92">
        <f>SUM(C52:D52)</f>
        <v>9517842.3200000003</v>
      </c>
    </row>
    <row r="53" spans="1:5">
      <c r="A53" s="55" t="s">
        <v>203</v>
      </c>
      <c r="B53" s="56" t="s">
        <v>204</v>
      </c>
      <c r="C53" s="49">
        <f>2450000-1000000-100000</f>
        <v>1350000</v>
      </c>
      <c r="D53" s="44">
        <v>0</v>
      </c>
      <c r="E53" s="89">
        <f>SUM(C53:D53)</f>
        <v>1350000</v>
      </c>
    </row>
    <row r="54" spans="1:5" ht="30">
      <c r="A54" s="55" t="s">
        <v>205</v>
      </c>
      <c r="B54" s="57" t="s">
        <v>206</v>
      </c>
      <c r="C54" s="44"/>
      <c r="D54" s="44"/>
      <c r="E54" s="90"/>
    </row>
    <row r="55" spans="1:5">
      <c r="A55" s="55" t="s">
        <v>207</v>
      </c>
      <c r="B55" s="58" t="s">
        <v>208</v>
      </c>
      <c r="C55" s="44">
        <f>200000-150000</f>
        <v>50000</v>
      </c>
      <c r="D55" s="44">
        <v>0</v>
      </c>
      <c r="E55" s="89">
        <f>SUM(C55:D55)</f>
        <v>50000</v>
      </c>
    </row>
    <row r="56" spans="1:5" ht="30">
      <c r="A56" s="55" t="s">
        <v>209</v>
      </c>
      <c r="B56" s="58" t="s">
        <v>210</v>
      </c>
      <c r="C56" s="44">
        <f>100000+700000</f>
        <v>800000</v>
      </c>
      <c r="D56" s="44">
        <v>0</v>
      </c>
      <c r="E56" s="89">
        <f>SUM(C56:D56)</f>
        <v>800000</v>
      </c>
    </row>
    <row r="57" spans="1:5" ht="30">
      <c r="A57" s="55" t="s">
        <v>205</v>
      </c>
      <c r="B57" s="58" t="s">
        <v>211</v>
      </c>
      <c r="C57" s="44">
        <f>100000-75000</f>
        <v>25000</v>
      </c>
      <c r="D57" s="44">
        <v>0</v>
      </c>
      <c r="E57" s="89">
        <f>SUM(C57:D57)</f>
        <v>25000</v>
      </c>
    </row>
    <row r="58" spans="1:5" ht="30">
      <c r="A58" s="55" t="s">
        <v>212</v>
      </c>
      <c r="B58" s="58" t="s">
        <v>213</v>
      </c>
      <c r="C58" s="44">
        <v>0</v>
      </c>
      <c r="D58" s="44">
        <v>0</v>
      </c>
      <c r="E58" s="89">
        <f>SUM(C58:D58)</f>
        <v>0</v>
      </c>
    </row>
    <row r="59" spans="1:5" ht="30">
      <c r="A59" s="55" t="s">
        <v>214</v>
      </c>
      <c r="B59" s="59" t="s">
        <v>215</v>
      </c>
      <c r="C59" s="44">
        <f>300000-250000</f>
        <v>50000</v>
      </c>
      <c r="D59" s="44">
        <v>0</v>
      </c>
      <c r="E59" s="89">
        <f>SUM(C59:D59)</f>
        <v>50000</v>
      </c>
    </row>
    <row r="60" spans="1:5" ht="30">
      <c r="A60" s="55" t="s">
        <v>216</v>
      </c>
      <c r="B60" s="60" t="s">
        <v>217</v>
      </c>
      <c r="C60" s="44">
        <f>550000+900000</f>
        <v>1450000</v>
      </c>
      <c r="D60" s="44">
        <v>0</v>
      </c>
      <c r="E60" s="89">
        <f>SUM(C60:D60)</f>
        <v>1450000</v>
      </c>
    </row>
    <row r="61" spans="1:5">
      <c r="A61" s="55" t="s">
        <v>218</v>
      </c>
      <c r="B61" s="61" t="s">
        <v>219</v>
      </c>
      <c r="C61" s="44">
        <f>500000-150000-300000</f>
        <v>50000</v>
      </c>
      <c r="D61" s="44">
        <v>0</v>
      </c>
      <c r="E61" s="89">
        <f>SUM(C61:D61)</f>
        <v>50000</v>
      </c>
    </row>
    <row r="62" spans="1:5" ht="30">
      <c r="A62" s="55" t="s">
        <v>220</v>
      </c>
      <c r="B62" s="62" t="s">
        <v>221</v>
      </c>
      <c r="C62" s="44">
        <f>500000-50000-400000</f>
        <v>50000</v>
      </c>
      <c r="D62" s="44">
        <v>0</v>
      </c>
      <c r="E62" s="89">
        <f>SUM(C62:D62)</f>
        <v>50000</v>
      </c>
    </row>
    <row r="63" spans="1:5" ht="30">
      <c r="A63" s="55" t="s">
        <v>222</v>
      </c>
      <c r="B63" s="60" t="s">
        <v>223</v>
      </c>
      <c r="C63" s="44">
        <f>2500000+500000</f>
        <v>3000000</v>
      </c>
      <c r="D63" s="44">
        <v>2682842.3199999998</v>
      </c>
      <c r="E63" s="89">
        <f>SUM(C63:D63)</f>
        <v>5682842.3200000003</v>
      </c>
    </row>
    <row r="64" spans="1:5" ht="30">
      <c r="A64" s="55" t="s">
        <v>224</v>
      </c>
      <c r="B64" s="60" t="s">
        <v>225</v>
      </c>
      <c r="C64" s="44">
        <v>10000</v>
      </c>
      <c r="D64" s="44">
        <v>0</v>
      </c>
      <c r="E64" s="89">
        <f>SUM(C64:D64)</f>
        <v>10000</v>
      </c>
    </row>
    <row r="65" spans="1:5">
      <c r="A65" s="50" t="s">
        <v>226</v>
      </c>
      <c r="B65" s="51" t="s">
        <v>227</v>
      </c>
      <c r="C65" s="52">
        <f>SUM(C67:C82)</f>
        <v>50295406</v>
      </c>
      <c r="D65" s="52">
        <f>+D67+D68+D69+D70+D71+D72+D73+D77+D79+D80+D81+D82</f>
        <v>0</v>
      </c>
      <c r="E65" s="89">
        <f>SUM(C65:D65)</f>
        <v>50295406</v>
      </c>
    </row>
    <row r="66" spans="1:5">
      <c r="A66" s="63" t="s">
        <v>228</v>
      </c>
      <c r="B66" s="56" t="s">
        <v>229</v>
      </c>
      <c r="C66" s="44">
        <v>0</v>
      </c>
      <c r="D66" s="44"/>
      <c r="E66" s="89">
        <f>SUM(C66:D66)</f>
        <v>0</v>
      </c>
    </row>
    <row r="67" spans="1:5">
      <c r="A67" s="42" t="s">
        <v>230</v>
      </c>
      <c r="B67" s="56" t="s">
        <v>229</v>
      </c>
      <c r="C67" s="44">
        <v>0</v>
      </c>
      <c r="D67" s="44">
        <v>0</v>
      </c>
      <c r="E67" s="89">
        <f>SUM(C67:D67)</f>
        <v>0</v>
      </c>
    </row>
    <row r="68" spans="1:5">
      <c r="A68" s="42" t="s">
        <v>231</v>
      </c>
      <c r="B68" s="56" t="s">
        <v>232</v>
      </c>
      <c r="C68" s="44">
        <f>1000000+600000+150000</f>
        <v>1750000</v>
      </c>
      <c r="D68" s="44">
        <v>0</v>
      </c>
      <c r="E68" s="89">
        <f>SUM(C68:D68)</f>
        <v>1750000</v>
      </c>
    </row>
    <row r="69" spans="1:5">
      <c r="A69" s="42" t="s">
        <v>233</v>
      </c>
      <c r="B69" s="56" t="s">
        <v>234</v>
      </c>
      <c r="C69" s="44">
        <v>0</v>
      </c>
      <c r="D69" s="44">
        <v>0</v>
      </c>
      <c r="E69" s="89">
        <f>SUM(C69:D69)</f>
        <v>0</v>
      </c>
    </row>
    <row r="70" spans="1:5">
      <c r="A70" s="42" t="s">
        <v>235</v>
      </c>
      <c r="B70" s="56" t="s">
        <v>236</v>
      </c>
      <c r="C70" s="44">
        <v>50000</v>
      </c>
      <c r="D70" s="44">
        <v>0</v>
      </c>
      <c r="E70" s="89">
        <f>SUM(C70:D70)</f>
        <v>50000</v>
      </c>
    </row>
    <row r="71" spans="1:5">
      <c r="A71" s="42" t="s">
        <v>237</v>
      </c>
      <c r="B71" s="56" t="s">
        <v>238</v>
      </c>
      <c r="C71" s="44">
        <f>150000+50000</f>
        <v>200000</v>
      </c>
      <c r="D71" s="44">
        <v>0</v>
      </c>
      <c r="E71" s="89">
        <f>SUM(C71:D71)</f>
        <v>200000</v>
      </c>
    </row>
    <row r="72" spans="1:5">
      <c r="A72" s="42" t="s">
        <v>239</v>
      </c>
      <c r="B72" s="56" t="s">
        <v>240</v>
      </c>
      <c r="C72" s="44">
        <v>125000</v>
      </c>
      <c r="D72" s="44">
        <v>0</v>
      </c>
      <c r="E72" s="89">
        <f>SUM(C72:D72)</f>
        <v>125000</v>
      </c>
    </row>
    <row r="73" spans="1:5">
      <c r="A73" s="42" t="s">
        <v>241</v>
      </c>
      <c r="B73" s="56" t="s">
        <v>242</v>
      </c>
      <c r="C73" s="44">
        <v>600000</v>
      </c>
      <c r="D73" s="44">
        <v>0</v>
      </c>
      <c r="E73" s="89">
        <f>SUM(C73:D73)</f>
        <v>600000</v>
      </c>
    </row>
    <row r="74" spans="1:5">
      <c r="A74" s="42" t="s">
        <v>243</v>
      </c>
      <c r="B74" s="56" t="s">
        <v>244</v>
      </c>
      <c r="C74" s="44">
        <v>0</v>
      </c>
      <c r="D74" s="44">
        <v>0</v>
      </c>
      <c r="E74" s="89">
        <f>SUM(C74:D74)</f>
        <v>0</v>
      </c>
    </row>
    <row r="75" spans="1:5" ht="30">
      <c r="A75" s="45" t="s">
        <v>245</v>
      </c>
      <c r="B75" s="59" t="s">
        <v>246</v>
      </c>
      <c r="C75" s="44">
        <v>0</v>
      </c>
      <c r="D75" s="44">
        <v>0</v>
      </c>
      <c r="E75" s="89">
        <f>SUM(C75:D75)</f>
        <v>0</v>
      </c>
    </row>
    <row r="76" spans="1:5">
      <c r="A76" s="45" t="s">
        <v>247</v>
      </c>
      <c r="B76" s="59" t="s">
        <v>248</v>
      </c>
      <c r="C76" s="44">
        <v>0</v>
      </c>
      <c r="D76" s="44">
        <v>0</v>
      </c>
      <c r="E76" s="89">
        <f>SUM(C76:D76)</f>
        <v>0</v>
      </c>
    </row>
    <row r="77" spans="1:5">
      <c r="A77" s="42" t="s">
        <v>249</v>
      </c>
      <c r="B77" s="56" t="s">
        <v>250</v>
      </c>
      <c r="C77" s="44">
        <f>500000+100000</f>
        <v>600000</v>
      </c>
      <c r="D77" s="44">
        <v>0</v>
      </c>
      <c r="E77" s="89">
        <f>SUM(C77:D77)</f>
        <v>600000</v>
      </c>
    </row>
    <row r="78" spans="1:5">
      <c r="A78" s="45" t="s">
        <v>251</v>
      </c>
      <c r="B78" s="61" t="s">
        <v>252</v>
      </c>
      <c r="C78" s="44">
        <v>30000</v>
      </c>
      <c r="D78" s="44">
        <v>0</v>
      </c>
      <c r="E78" s="89">
        <f>SUM(C78:D78)</f>
        <v>30000</v>
      </c>
    </row>
    <row r="79" spans="1:5">
      <c r="A79" s="42" t="s">
        <v>253</v>
      </c>
      <c r="B79" s="56" t="s">
        <v>254</v>
      </c>
      <c r="C79" s="44">
        <v>300000</v>
      </c>
      <c r="D79" s="44">
        <v>0</v>
      </c>
      <c r="E79" s="89">
        <f>SUM(C79:D79)</f>
        <v>300000</v>
      </c>
    </row>
    <row r="80" spans="1:5">
      <c r="A80" s="42" t="s">
        <v>255</v>
      </c>
      <c r="B80" s="56" t="s">
        <v>256</v>
      </c>
      <c r="C80" s="44">
        <f>8000000+7100000</f>
        <v>15100000</v>
      </c>
      <c r="D80" s="44">
        <v>0</v>
      </c>
      <c r="E80" s="89">
        <f>SUM(C80:D80)</f>
        <v>15100000</v>
      </c>
    </row>
    <row r="81" spans="1:5">
      <c r="A81" s="45" t="s">
        <v>257</v>
      </c>
      <c r="B81" s="61" t="s">
        <v>258</v>
      </c>
      <c r="C81" s="44">
        <v>400000</v>
      </c>
      <c r="D81" s="44">
        <v>0</v>
      </c>
      <c r="E81" s="89">
        <f>SUM(C81:D81)</f>
        <v>400000</v>
      </c>
    </row>
    <row r="82" spans="1:5">
      <c r="A82" s="42" t="s">
        <v>259</v>
      </c>
      <c r="B82" s="56" t="s">
        <v>260</v>
      </c>
      <c r="C82" s="49">
        <v>31140406</v>
      </c>
      <c r="D82" s="44">
        <v>0</v>
      </c>
      <c r="E82" s="89">
        <f>SUM(C82:D82)</f>
        <v>31140406</v>
      </c>
    </row>
    <row r="83" spans="1:5" ht="15" customHeight="1">
      <c r="A83" s="104" t="s">
        <v>515</v>
      </c>
      <c r="B83" s="64" t="s">
        <v>261</v>
      </c>
      <c r="C83" s="44">
        <v>0</v>
      </c>
      <c r="D83" s="44"/>
      <c r="E83" s="89">
        <f>SUM(C83:D83)</f>
        <v>0</v>
      </c>
    </row>
    <row r="84" spans="1:5">
      <c r="A84" s="50" t="s">
        <v>262</v>
      </c>
      <c r="B84" s="51" t="s">
        <v>263</v>
      </c>
      <c r="C84" s="52">
        <f>SUM(C85:C88)</f>
        <v>3120000</v>
      </c>
      <c r="D84" s="52">
        <f>+D85+D86+D87+D88</f>
        <v>0</v>
      </c>
      <c r="E84" s="92">
        <f>SUM(C84:D84)</f>
        <v>3120000</v>
      </c>
    </row>
    <row r="85" spans="1:5">
      <c r="A85" s="42" t="s">
        <v>264</v>
      </c>
      <c r="B85" s="43" t="s">
        <v>265</v>
      </c>
      <c r="C85" s="44">
        <v>300000</v>
      </c>
      <c r="D85" s="44">
        <v>0</v>
      </c>
      <c r="E85" s="89">
        <f>SUM(C85:D85)</f>
        <v>300000</v>
      </c>
    </row>
    <row r="86" spans="1:5">
      <c r="A86" s="42" t="s">
        <v>266</v>
      </c>
      <c r="B86" s="43" t="s">
        <v>267</v>
      </c>
      <c r="C86" s="44">
        <f>1500000+800000</f>
        <v>2300000</v>
      </c>
      <c r="D86" s="44">
        <v>0</v>
      </c>
      <c r="E86" s="89">
        <f>SUM(C86:D86)</f>
        <v>2300000</v>
      </c>
    </row>
    <row r="87" spans="1:5">
      <c r="A87" s="42" t="s">
        <v>268</v>
      </c>
      <c r="B87" s="43" t="s">
        <v>269</v>
      </c>
      <c r="C87" s="44">
        <f>900000-10000-400000</f>
        <v>490000</v>
      </c>
      <c r="D87" s="44">
        <v>0</v>
      </c>
      <c r="E87" s="89">
        <f>SUM(C87:D87)</f>
        <v>490000</v>
      </c>
    </row>
    <row r="88" spans="1:5">
      <c r="A88" s="42" t="s">
        <v>270</v>
      </c>
      <c r="B88" s="43" t="s">
        <v>271</v>
      </c>
      <c r="C88" s="44">
        <f>10000+20000</f>
        <v>30000</v>
      </c>
      <c r="D88" s="44">
        <v>0</v>
      </c>
      <c r="E88" s="89">
        <f>SUM(C88:D88)</f>
        <v>30000</v>
      </c>
    </row>
    <row r="89" spans="1:5">
      <c r="A89" s="63" t="s">
        <v>270</v>
      </c>
      <c r="B89" s="56" t="s">
        <v>272</v>
      </c>
      <c r="C89" s="44">
        <v>100000</v>
      </c>
      <c r="D89" s="44"/>
      <c r="E89" s="89">
        <f>SUM(C89:D89)</f>
        <v>100000</v>
      </c>
    </row>
    <row r="90" spans="1:5">
      <c r="A90" s="50" t="s">
        <v>273</v>
      </c>
      <c r="B90" s="51" t="s">
        <v>274</v>
      </c>
      <c r="C90" s="99"/>
      <c r="D90" s="99"/>
      <c r="E90" s="100"/>
    </row>
    <row r="91" spans="1:5">
      <c r="A91" s="63" t="s">
        <v>275</v>
      </c>
      <c r="B91" s="56" t="s">
        <v>276</v>
      </c>
      <c r="C91" s="65">
        <v>0</v>
      </c>
      <c r="D91" s="44"/>
      <c r="E91" s="89">
        <f>SUM(C91:D91)</f>
        <v>0</v>
      </c>
    </row>
    <row r="92" spans="1:5">
      <c r="A92" s="63" t="s">
        <v>277</v>
      </c>
      <c r="B92" s="56" t="s">
        <v>278</v>
      </c>
      <c r="C92" s="44"/>
      <c r="D92" s="44"/>
      <c r="E92" s="90"/>
    </row>
    <row r="93" spans="1:5">
      <c r="A93" s="63" t="s">
        <v>279</v>
      </c>
      <c r="B93" s="56" t="s">
        <v>280</v>
      </c>
      <c r="C93" s="44"/>
      <c r="D93" s="44"/>
      <c r="E93" s="90"/>
    </row>
    <row r="94" spans="1:5">
      <c r="A94" s="63" t="s">
        <v>281</v>
      </c>
      <c r="B94" s="56" t="s">
        <v>282</v>
      </c>
      <c r="C94" s="44"/>
      <c r="D94" s="44"/>
      <c r="E94" s="90"/>
    </row>
    <row r="95" spans="1:5">
      <c r="A95" s="50" t="s">
        <v>273</v>
      </c>
      <c r="B95" s="51" t="s">
        <v>274</v>
      </c>
      <c r="C95" s="52">
        <f>SUM(C96:C99)</f>
        <v>3255000</v>
      </c>
      <c r="D95" s="52">
        <f t="shared" ref="D95" si="2">+D96+D97+D98+D99</f>
        <v>17595978</v>
      </c>
      <c r="E95" s="92">
        <f>SUM(C95:D95)</f>
        <v>20850978</v>
      </c>
    </row>
    <row r="96" spans="1:5">
      <c r="A96" s="63" t="s">
        <v>283</v>
      </c>
      <c r="B96" s="56" t="s">
        <v>284</v>
      </c>
      <c r="C96" s="44">
        <v>5000</v>
      </c>
      <c r="D96" s="44">
        <v>0</v>
      </c>
      <c r="E96" s="89">
        <f>SUM(C96:D96)</f>
        <v>5000</v>
      </c>
    </row>
    <row r="97" spans="1:5">
      <c r="A97" s="63" t="s">
        <v>285</v>
      </c>
      <c r="B97" s="56" t="s">
        <v>278</v>
      </c>
      <c r="C97" s="44">
        <f>100000+150000+1000000</f>
        <v>1250000</v>
      </c>
      <c r="D97" s="44">
        <v>0</v>
      </c>
      <c r="E97" s="89">
        <f>SUM(C97:D97)</f>
        <v>1250000</v>
      </c>
    </row>
    <row r="98" spans="1:5">
      <c r="A98" s="63" t="s">
        <v>286</v>
      </c>
      <c r="B98" s="56" t="s">
        <v>287</v>
      </c>
      <c r="C98" s="44">
        <f>700000+300000</f>
        <v>1000000</v>
      </c>
      <c r="D98" s="44">
        <v>12471589.5</v>
      </c>
      <c r="E98" s="89">
        <f>SUM(C98:D98)</f>
        <v>13471589.5</v>
      </c>
    </row>
    <row r="99" spans="1:5">
      <c r="A99" s="63" t="s">
        <v>288</v>
      </c>
      <c r="B99" s="56" t="s">
        <v>282</v>
      </c>
      <c r="C99" s="44">
        <v>1000000</v>
      </c>
      <c r="D99" s="44">
        <v>5124388.5</v>
      </c>
      <c r="E99" s="89">
        <f>SUM(C99:D99)</f>
        <v>6124388.5</v>
      </c>
    </row>
    <row r="100" spans="1:5">
      <c r="A100" s="50" t="s">
        <v>289</v>
      </c>
      <c r="B100" s="51" t="s">
        <v>290</v>
      </c>
      <c r="C100" s="52">
        <f>SUM(C101:C104)</f>
        <v>1900000</v>
      </c>
      <c r="D100" s="52">
        <f t="shared" ref="D100" si="3">+D101+D102+D103+D104</f>
        <v>0</v>
      </c>
      <c r="E100" s="92">
        <f>SUM(C100:D100)</f>
        <v>1900000</v>
      </c>
    </row>
    <row r="101" spans="1:5">
      <c r="A101" s="42" t="s">
        <v>291</v>
      </c>
      <c r="B101" s="43" t="s">
        <v>292</v>
      </c>
      <c r="C101" s="44">
        <v>700000</v>
      </c>
      <c r="D101" s="44">
        <v>0</v>
      </c>
      <c r="E101" s="89">
        <f>SUM(C101:D101)</f>
        <v>700000</v>
      </c>
    </row>
    <row r="102" spans="1:5">
      <c r="A102" s="42" t="s">
        <v>293</v>
      </c>
      <c r="B102" s="43" t="s">
        <v>294</v>
      </c>
      <c r="C102" s="66">
        <v>500000</v>
      </c>
      <c r="D102" s="44">
        <v>0</v>
      </c>
      <c r="E102" s="89">
        <f>SUM(C102:D102)</f>
        <v>500000</v>
      </c>
    </row>
    <row r="103" spans="1:5">
      <c r="A103" s="42" t="s">
        <v>295</v>
      </c>
      <c r="B103" s="43" t="s">
        <v>296</v>
      </c>
      <c r="C103" s="66">
        <f>250000+100000</f>
        <v>350000</v>
      </c>
      <c r="D103" s="44">
        <v>0</v>
      </c>
      <c r="E103" s="89">
        <f>SUM(C103:D103)</f>
        <v>350000</v>
      </c>
    </row>
    <row r="104" spans="1:5">
      <c r="A104" s="42" t="s">
        <v>297</v>
      </c>
      <c r="B104" s="43" t="s">
        <v>298</v>
      </c>
      <c r="C104" s="66">
        <v>350000</v>
      </c>
      <c r="D104" s="44">
        <v>0</v>
      </c>
      <c r="E104" s="89">
        <f>SUM(C104:D104)</f>
        <v>350000</v>
      </c>
    </row>
    <row r="105" spans="1:5">
      <c r="A105" s="50" t="s">
        <v>299</v>
      </c>
      <c r="B105" s="51" t="s">
        <v>300</v>
      </c>
      <c r="C105" s="52">
        <f>SUM(C106:C107)</f>
        <v>4850000</v>
      </c>
      <c r="D105" s="52">
        <f t="shared" ref="D105" si="4">+D106+D107</f>
        <v>0</v>
      </c>
      <c r="E105" s="92">
        <f>SUM(C105:D105)</f>
        <v>4850000</v>
      </c>
    </row>
    <row r="106" spans="1:5">
      <c r="A106" s="67" t="s">
        <v>301</v>
      </c>
      <c r="B106" s="68" t="s">
        <v>302</v>
      </c>
      <c r="C106" s="44">
        <f>1500000+3200000</f>
        <v>4700000</v>
      </c>
      <c r="D106" s="44">
        <v>0</v>
      </c>
      <c r="E106" s="89">
        <f>SUM(C106:D106)</f>
        <v>4700000</v>
      </c>
    </row>
    <row r="107" spans="1:5">
      <c r="A107" s="58" t="s">
        <v>303</v>
      </c>
      <c r="B107" s="57" t="s">
        <v>304</v>
      </c>
      <c r="C107" s="44">
        <f>350000-200000</f>
        <v>150000</v>
      </c>
      <c r="D107" s="44">
        <v>0</v>
      </c>
      <c r="E107" s="89">
        <f>SUM(C107:D107)</f>
        <v>150000</v>
      </c>
    </row>
    <row r="108" spans="1:5">
      <c r="A108" s="69" t="s">
        <v>305</v>
      </c>
      <c r="B108" s="70" t="s">
        <v>306</v>
      </c>
      <c r="C108" s="52">
        <f>+C109+C110+C111+C112+C113</f>
        <v>2800000</v>
      </c>
      <c r="D108" s="52">
        <f t="shared" ref="D108" si="5">+D109+D110+D111+D112+D113</f>
        <v>0</v>
      </c>
      <c r="E108" s="92">
        <f>SUM(C108:D108)</f>
        <v>2800000</v>
      </c>
    </row>
    <row r="109" spans="1:5">
      <c r="A109" s="42" t="s">
        <v>307</v>
      </c>
      <c r="B109" s="43" t="s">
        <v>308</v>
      </c>
      <c r="C109" s="44">
        <v>200000</v>
      </c>
      <c r="D109" s="44">
        <v>0</v>
      </c>
      <c r="E109" s="89">
        <f>SUM(C109:D109)</f>
        <v>200000</v>
      </c>
    </row>
    <row r="110" spans="1:5">
      <c r="A110" s="42" t="s">
        <v>309</v>
      </c>
      <c r="B110" s="43" t="s">
        <v>310</v>
      </c>
      <c r="C110" s="44">
        <v>100000</v>
      </c>
      <c r="D110" s="44">
        <v>0</v>
      </c>
      <c r="E110" s="89">
        <f>SUM(C110:D110)</f>
        <v>100000</v>
      </c>
    </row>
    <row r="111" spans="1:5">
      <c r="A111" s="42" t="s">
        <v>311</v>
      </c>
      <c r="B111" s="43" t="s">
        <v>312</v>
      </c>
      <c r="C111" s="66">
        <f>3200000-2000000-50000-200000-600000</f>
        <v>350000</v>
      </c>
      <c r="D111" s="44">
        <v>0</v>
      </c>
      <c r="E111" s="89">
        <f>SUM(C111:D111)</f>
        <v>350000</v>
      </c>
    </row>
    <row r="112" spans="1:5">
      <c r="A112" s="42" t="s">
        <v>313</v>
      </c>
      <c r="B112" s="43" t="s">
        <v>314</v>
      </c>
      <c r="C112" s="66">
        <v>100000</v>
      </c>
      <c r="D112" s="44">
        <v>0</v>
      </c>
      <c r="E112" s="89">
        <f>SUM(C112:D112)</f>
        <v>100000</v>
      </c>
    </row>
    <row r="113" spans="1:5">
      <c r="A113" s="42" t="s">
        <v>315</v>
      </c>
      <c r="B113" s="43" t="s">
        <v>316</v>
      </c>
      <c r="C113" s="66">
        <f>900000-250000+1400000</f>
        <v>2050000</v>
      </c>
      <c r="D113" s="44">
        <v>0</v>
      </c>
      <c r="E113" s="89">
        <f>SUM(C113:D113)</f>
        <v>2050000</v>
      </c>
    </row>
    <row r="114" spans="1:5">
      <c r="A114" s="69" t="s">
        <v>317</v>
      </c>
      <c r="B114" s="71" t="s">
        <v>318</v>
      </c>
      <c r="C114" s="52">
        <f>SUM(C115:C131)</f>
        <v>3673000</v>
      </c>
      <c r="D114" s="52">
        <f>+D115+D116+D117+D118+D119+D120+D121+D122+D123+D126+D127+D128+D129+D130+D131</f>
        <v>6569930</v>
      </c>
      <c r="E114" s="92">
        <f>SUM(C114:D114)</f>
        <v>10242930</v>
      </c>
    </row>
    <row r="115" spans="1:5">
      <c r="A115" s="42" t="s">
        <v>319</v>
      </c>
      <c r="B115" s="43" t="s">
        <v>320</v>
      </c>
      <c r="C115" s="72">
        <v>150000</v>
      </c>
      <c r="D115" s="44">
        <v>0</v>
      </c>
      <c r="E115" s="89">
        <f>SUM(C115:D115)</f>
        <v>150000</v>
      </c>
    </row>
    <row r="116" spans="1:5">
      <c r="A116" s="42" t="s">
        <v>321</v>
      </c>
      <c r="B116" s="43" t="s">
        <v>322</v>
      </c>
      <c r="C116" s="44">
        <v>0</v>
      </c>
      <c r="D116" s="44">
        <v>0</v>
      </c>
      <c r="E116" s="89">
        <f>SUM(C116:D116)</f>
        <v>0</v>
      </c>
    </row>
    <row r="117" spans="1:5">
      <c r="A117" s="42" t="s">
        <v>323</v>
      </c>
      <c r="B117" s="43" t="s">
        <v>324</v>
      </c>
      <c r="C117" s="44">
        <v>50000</v>
      </c>
      <c r="D117" s="44">
        <v>0</v>
      </c>
      <c r="E117" s="89">
        <f>SUM(C117:D117)</f>
        <v>50000</v>
      </c>
    </row>
    <row r="118" spans="1:5">
      <c r="A118" s="42" t="s">
        <v>325</v>
      </c>
      <c r="B118" s="43" t="s">
        <v>326</v>
      </c>
      <c r="C118" s="44">
        <v>150000</v>
      </c>
      <c r="D118" s="44">
        <v>0</v>
      </c>
      <c r="E118" s="89">
        <f>SUM(C118:D118)</f>
        <v>150000</v>
      </c>
    </row>
    <row r="119" spans="1:5">
      <c r="A119" s="42" t="s">
        <v>327</v>
      </c>
      <c r="B119" s="43" t="s">
        <v>328</v>
      </c>
      <c r="C119" s="72">
        <f>35000+100000</f>
        <v>135000</v>
      </c>
      <c r="D119" s="44">
        <v>0</v>
      </c>
      <c r="E119" s="89">
        <f>SUM(C119:D119)</f>
        <v>135000</v>
      </c>
    </row>
    <row r="120" spans="1:5">
      <c r="A120" s="42" t="s">
        <v>329</v>
      </c>
      <c r="B120" s="43" t="s">
        <v>330</v>
      </c>
      <c r="C120" s="72">
        <v>200000</v>
      </c>
      <c r="D120" s="44">
        <v>0</v>
      </c>
      <c r="E120" s="89">
        <f>SUM(C120:D120)</f>
        <v>200000</v>
      </c>
    </row>
    <row r="121" spans="1:5">
      <c r="A121" s="42" t="s">
        <v>331</v>
      </c>
      <c r="B121" s="43" t="s">
        <v>332</v>
      </c>
      <c r="C121" s="72">
        <v>150000</v>
      </c>
      <c r="D121" s="44">
        <v>0</v>
      </c>
      <c r="E121" s="89">
        <f>SUM(C121:D121)</f>
        <v>150000</v>
      </c>
    </row>
    <row r="122" spans="1:5">
      <c r="A122" s="42" t="s">
        <v>333</v>
      </c>
      <c r="B122" s="43" t="s">
        <v>334</v>
      </c>
      <c r="C122" s="72">
        <v>18000</v>
      </c>
      <c r="D122" s="44">
        <v>0</v>
      </c>
      <c r="E122" s="89">
        <f>SUM(C122:D122)</f>
        <v>18000</v>
      </c>
    </row>
    <row r="123" spans="1:5">
      <c r="A123" s="42" t="s">
        <v>335</v>
      </c>
      <c r="B123" s="43" t="s">
        <v>336</v>
      </c>
      <c r="C123" s="72">
        <f>500000-300000-50000</f>
        <v>150000</v>
      </c>
      <c r="D123" s="44">
        <v>0</v>
      </c>
      <c r="E123" s="89">
        <f>SUM(C123:D123)</f>
        <v>150000</v>
      </c>
    </row>
    <row r="124" spans="1:5">
      <c r="A124" s="42" t="s">
        <v>337</v>
      </c>
      <c r="B124" s="43" t="s">
        <v>338</v>
      </c>
      <c r="C124" s="72"/>
      <c r="D124" s="44"/>
      <c r="E124" s="90"/>
    </row>
    <row r="125" spans="1:5">
      <c r="A125" s="42" t="s">
        <v>339</v>
      </c>
      <c r="B125" s="43" t="s">
        <v>340</v>
      </c>
      <c r="C125" s="72"/>
      <c r="D125" s="44"/>
      <c r="E125" s="90"/>
    </row>
    <row r="126" spans="1:5">
      <c r="A126" s="42" t="s">
        <v>341</v>
      </c>
      <c r="B126" s="43" t="s">
        <v>342</v>
      </c>
      <c r="C126" s="44">
        <v>5000</v>
      </c>
      <c r="D126" s="44">
        <v>0</v>
      </c>
      <c r="E126" s="89">
        <f>SUM(C126:D126)</f>
        <v>5000</v>
      </c>
    </row>
    <row r="127" spans="1:5">
      <c r="A127" s="42" t="s">
        <v>343</v>
      </c>
      <c r="B127" s="43" t="s">
        <v>338</v>
      </c>
      <c r="C127" s="44">
        <v>50000</v>
      </c>
      <c r="D127" s="44"/>
      <c r="E127" s="89">
        <f>SUM(C127:D127)</f>
        <v>50000</v>
      </c>
    </row>
    <row r="128" spans="1:5">
      <c r="A128" s="42" t="s">
        <v>344</v>
      </c>
      <c r="B128" s="43" t="s">
        <v>345</v>
      </c>
      <c r="C128" s="44">
        <f>1500000+1100000</f>
        <v>2600000</v>
      </c>
      <c r="D128" s="44">
        <v>6569930</v>
      </c>
      <c r="E128" s="89">
        <f>SUM(C128:D128)</f>
        <v>9169930</v>
      </c>
    </row>
    <row r="129" spans="1:5">
      <c r="A129" s="42" t="s">
        <v>346</v>
      </c>
      <c r="B129" s="43" t="s">
        <v>347</v>
      </c>
      <c r="C129" s="44">
        <v>5000</v>
      </c>
      <c r="D129" s="44">
        <v>0</v>
      </c>
      <c r="E129" s="89">
        <f>SUM(C129:D129)</f>
        <v>5000</v>
      </c>
    </row>
    <row r="130" spans="1:5">
      <c r="A130" s="42" t="s">
        <v>348</v>
      </c>
      <c r="B130" s="43" t="s">
        <v>349</v>
      </c>
      <c r="C130" s="72">
        <v>10000</v>
      </c>
      <c r="D130" s="44">
        <v>0</v>
      </c>
      <c r="E130" s="89">
        <f>SUM(C130:D130)</f>
        <v>10000</v>
      </c>
    </row>
    <row r="131" spans="1:5">
      <c r="A131" s="42" t="s">
        <v>350</v>
      </c>
      <c r="B131" s="43" t="s">
        <v>351</v>
      </c>
      <c r="C131" s="44">
        <v>0</v>
      </c>
      <c r="D131" s="44">
        <v>0</v>
      </c>
      <c r="E131" s="89">
        <f>SUM(C131:D131)</f>
        <v>0</v>
      </c>
    </row>
    <row r="132" spans="1:5">
      <c r="A132" s="42" t="s">
        <v>352</v>
      </c>
      <c r="B132" s="43" t="s">
        <v>353</v>
      </c>
      <c r="C132" s="73">
        <v>0</v>
      </c>
      <c r="D132" s="44"/>
      <c r="E132" s="89">
        <f>SUM(C132:D132)</f>
        <v>0</v>
      </c>
    </row>
    <row r="133" spans="1:5" ht="30">
      <c r="A133" s="69" t="s">
        <v>354</v>
      </c>
      <c r="B133" s="71" t="s">
        <v>355</v>
      </c>
      <c r="C133" s="52">
        <f>SUM(C134:C152)</f>
        <v>47998357</v>
      </c>
      <c r="D133" s="52">
        <f>+D134+D135+D137+D139+D140+D143+D144+D146+D149+D151+D152</f>
        <v>8000000</v>
      </c>
      <c r="E133" s="92">
        <f>SUM(C133:D133)</f>
        <v>55998357</v>
      </c>
    </row>
    <row r="134" spans="1:5">
      <c r="A134" s="63" t="s">
        <v>356</v>
      </c>
      <c r="B134" s="56" t="s">
        <v>357</v>
      </c>
      <c r="C134" s="66">
        <v>32941357</v>
      </c>
      <c r="D134" s="44">
        <v>4000000</v>
      </c>
      <c r="E134" s="89">
        <f>SUM(C134:D134)</f>
        <v>36941357</v>
      </c>
    </row>
    <row r="135" spans="1:5">
      <c r="A135" s="63" t="s">
        <v>358</v>
      </c>
      <c r="B135" s="56" t="s">
        <v>359</v>
      </c>
      <c r="C135" s="66">
        <f>5000000+3000000+4100000</f>
        <v>12100000</v>
      </c>
      <c r="D135" s="44">
        <v>4000000</v>
      </c>
      <c r="E135" s="89">
        <f>SUM(C135:D135)</f>
        <v>16100000</v>
      </c>
    </row>
    <row r="136" spans="1:5">
      <c r="A136" s="63" t="s">
        <v>360</v>
      </c>
      <c r="B136" s="56" t="s">
        <v>361</v>
      </c>
      <c r="C136" s="66">
        <v>0</v>
      </c>
      <c r="D136" s="44">
        <v>0</v>
      </c>
      <c r="E136" s="89">
        <f>SUM(C136:D136)</f>
        <v>0</v>
      </c>
    </row>
    <row r="137" spans="1:5">
      <c r="A137" s="63" t="s">
        <v>362</v>
      </c>
      <c r="B137" s="56" t="s">
        <v>363</v>
      </c>
      <c r="C137" s="66">
        <f>700000-500000</f>
        <v>200000</v>
      </c>
      <c r="D137" s="44">
        <v>0</v>
      </c>
      <c r="E137" s="89">
        <f>SUM(C137:D137)</f>
        <v>200000</v>
      </c>
    </row>
    <row r="138" spans="1:5">
      <c r="A138" s="63" t="s">
        <v>364</v>
      </c>
      <c r="B138" s="56" t="s">
        <v>365</v>
      </c>
      <c r="C138" s="74"/>
      <c r="D138" s="44"/>
      <c r="E138" s="90"/>
    </row>
    <row r="139" spans="1:5">
      <c r="A139" s="63" t="s">
        <v>366</v>
      </c>
      <c r="B139" s="56" t="s">
        <v>365</v>
      </c>
      <c r="C139" s="66">
        <v>100000</v>
      </c>
      <c r="D139" s="44">
        <v>0</v>
      </c>
      <c r="E139" s="89">
        <f>SUM(C139:D139)</f>
        <v>100000</v>
      </c>
    </row>
    <row r="140" spans="1:5">
      <c r="A140" s="63" t="s">
        <v>367</v>
      </c>
      <c r="B140" s="56" t="s">
        <v>368</v>
      </c>
      <c r="C140" s="66">
        <f>1500000-150000-500000</f>
        <v>850000</v>
      </c>
      <c r="D140" s="44">
        <v>0</v>
      </c>
      <c r="E140" s="89">
        <f>SUM(C140:D140)</f>
        <v>850000</v>
      </c>
    </row>
    <row r="141" spans="1:5">
      <c r="A141" s="75" t="s">
        <v>369</v>
      </c>
      <c r="B141" s="56" t="s">
        <v>370</v>
      </c>
      <c r="C141" s="74"/>
      <c r="D141" s="44"/>
      <c r="E141" s="90"/>
    </row>
    <row r="142" spans="1:5">
      <c r="A142" s="63" t="s">
        <v>371</v>
      </c>
      <c r="B142" s="56" t="s">
        <v>372</v>
      </c>
      <c r="C142" s="66">
        <v>0</v>
      </c>
      <c r="D142" s="44">
        <v>0</v>
      </c>
      <c r="E142" s="89">
        <f>SUM(C142:D142)</f>
        <v>0</v>
      </c>
    </row>
    <row r="143" spans="1:5">
      <c r="A143" s="75" t="s">
        <v>373</v>
      </c>
      <c r="B143" s="56" t="s">
        <v>374</v>
      </c>
      <c r="C143" s="66">
        <f>150000+500000</f>
        <v>650000</v>
      </c>
      <c r="D143" s="44">
        <v>0</v>
      </c>
      <c r="E143" s="89">
        <f>SUM(C143:D143)</f>
        <v>650000</v>
      </c>
    </row>
    <row r="144" spans="1:5">
      <c r="A144" s="75" t="s">
        <v>375</v>
      </c>
      <c r="B144" s="56" t="s">
        <v>370</v>
      </c>
      <c r="C144" s="66">
        <v>0</v>
      </c>
      <c r="D144" s="44">
        <v>0</v>
      </c>
      <c r="E144" s="89">
        <f>SUM(C144:D144)</f>
        <v>0</v>
      </c>
    </row>
    <row r="145" spans="1:5">
      <c r="A145" s="75" t="s">
        <v>376</v>
      </c>
      <c r="B145" s="56" t="s">
        <v>377</v>
      </c>
      <c r="C145" s="66">
        <v>0</v>
      </c>
      <c r="D145" s="44">
        <v>0</v>
      </c>
      <c r="E145" s="89">
        <f>SUM(C145:D145)</f>
        <v>0</v>
      </c>
    </row>
    <row r="146" spans="1:5">
      <c r="A146" s="75" t="s">
        <v>378</v>
      </c>
      <c r="B146" s="56" t="s">
        <v>379</v>
      </c>
      <c r="C146" s="66">
        <f>300000-200000</f>
        <v>100000</v>
      </c>
      <c r="D146" s="44">
        <v>0</v>
      </c>
      <c r="E146" s="89">
        <f>SUM(C146:D146)</f>
        <v>100000</v>
      </c>
    </row>
    <row r="147" spans="1:5">
      <c r="A147" s="75" t="s">
        <v>380</v>
      </c>
      <c r="B147" s="56" t="s">
        <v>381</v>
      </c>
      <c r="C147" s="74"/>
      <c r="D147" s="44"/>
      <c r="E147" s="90"/>
    </row>
    <row r="148" spans="1:5">
      <c r="A148" s="75" t="s">
        <v>382</v>
      </c>
      <c r="B148" s="56" t="s">
        <v>381</v>
      </c>
      <c r="C148" s="66">
        <v>5000</v>
      </c>
      <c r="D148" s="44">
        <v>0</v>
      </c>
      <c r="E148" s="89">
        <f>SUM(C148:D148)</f>
        <v>5000</v>
      </c>
    </row>
    <row r="149" spans="1:5">
      <c r="A149" s="75" t="s">
        <v>383</v>
      </c>
      <c r="B149" s="56" t="s">
        <v>384</v>
      </c>
      <c r="C149" s="66">
        <f>132000-5000</f>
        <v>127000</v>
      </c>
      <c r="D149" s="44">
        <v>0</v>
      </c>
      <c r="E149" s="89">
        <f>SUM(C149:D149)</f>
        <v>127000</v>
      </c>
    </row>
    <row r="150" spans="1:5" ht="30">
      <c r="A150" s="76" t="s">
        <v>385</v>
      </c>
      <c r="B150" s="61" t="s">
        <v>386</v>
      </c>
      <c r="C150" s="66">
        <f>550000+200000</f>
        <v>750000</v>
      </c>
      <c r="D150" s="44">
        <v>0</v>
      </c>
      <c r="E150" s="89">
        <f>SUM(C150:D150)</f>
        <v>750000</v>
      </c>
    </row>
    <row r="151" spans="1:5">
      <c r="A151" s="77" t="s">
        <v>387</v>
      </c>
      <c r="B151" s="61" t="s">
        <v>388</v>
      </c>
      <c r="C151" s="78">
        <v>0</v>
      </c>
      <c r="D151" s="44">
        <v>0</v>
      </c>
      <c r="E151" s="89">
        <f>SUM(C151:D151)</f>
        <v>0</v>
      </c>
    </row>
    <row r="152" spans="1:5">
      <c r="A152" s="75" t="s">
        <v>389</v>
      </c>
      <c r="B152" s="56" t="s">
        <v>390</v>
      </c>
      <c r="C152" s="66">
        <f>150000+25000</f>
        <v>175000</v>
      </c>
      <c r="D152" s="44">
        <v>0</v>
      </c>
      <c r="E152" s="89">
        <f>SUM(C152:D152)</f>
        <v>175000</v>
      </c>
    </row>
    <row r="153" spans="1:5">
      <c r="A153" s="50" t="s">
        <v>391</v>
      </c>
      <c r="B153" s="51" t="s">
        <v>392</v>
      </c>
      <c r="C153" s="52">
        <f>SUM(C154:C164)</f>
        <v>8100000</v>
      </c>
      <c r="D153" s="52">
        <f>+D154+D155+D157+D158+D159+D160+D161+D163</f>
        <v>68775000</v>
      </c>
      <c r="E153" s="92">
        <f>SUM(C153:D153)</f>
        <v>76875000</v>
      </c>
    </row>
    <row r="154" spans="1:5">
      <c r="A154" s="42" t="s">
        <v>393</v>
      </c>
      <c r="B154" s="43" t="s">
        <v>394</v>
      </c>
      <c r="C154" s="66">
        <f>650000+300000</f>
        <v>950000</v>
      </c>
      <c r="D154" s="44">
        <v>0</v>
      </c>
      <c r="E154" s="89">
        <f>SUM(C154:D154)</f>
        <v>950000</v>
      </c>
    </row>
    <row r="155" spans="1:5">
      <c r="A155" s="45" t="s">
        <v>395</v>
      </c>
      <c r="B155" s="46" t="s">
        <v>396</v>
      </c>
      <c r="C155" s="66">
        <f>1570000+300000+800000</f>
        <v>2670000</v>
      </c>
      <c r="D155" s="44">
        <v>0</v>
      </c>
      <c r="E155" s="89">
        <f>SUM(C155:D155)</f>
        <v>2670000</v>
      </c>
    </row>
    <row r="156" spans="1:5">
      <c r="A156" s="45" t="s">
        <v>397</v>
      </c>
      <c r="B156" s="46" t="s">
        <v>398</v>
      </c>
      <c r="C156" s="66">
        <v>200000</v>
      </c>
      <c r="D156" s="44">
        <v>0</v>
      </c>
      <c r="E156" s="89">
        <f>SUM(C156:D156)</f>
        <v>200000</v>
      </c>
    </row>
    <row r="157" spans="1:5">
      <c r="A157" s="45" t="s">
        <v>399</v>
      </c>
      <c r="B157" s="46" t="s">
        <v>400</v>
      </c>
      <c r="C157" s="66">
        <f>500000+20000+350000</f>
        <v>870000</v>
      </c>
      <c r="D157" s="44">
        <v>0</v>
      </c>
      <c r="E157" s="89">
        <f>SUM(C157:D157)</f>
        <v>870000</v>
      </c>
    </row>
    <row r="158" spans="1:5" ht="30">
      <c r="A158" s="45" t="s">
        <v>401</v>
      </c>
      <c r="B158" s="48" t="s">
        <v>402</v>
      </c>
      <c r="C158" s="66">
        <f>250000+610000</f>
        <v>860000</v>
      </c>
      <c r="D158" s="44">
        <v>0</v>
      </c>
      <c r="E158" s="89">
        <f>SUM(C158:D158)</f>
        <v>860000</v>
      </c>
    </row>
    <row r="159" spans="1:5">
      <c r="A159" s="42" t="s">
        <v>403</v>
      </c>
      <c r="B159" s="43" t="s">
        <v>404</v>
      </c>
      <c r="C159" s="66">
        <f>300000+20000</f>
        <v>320000</v>
      </c>
      <c r="D159" s="44">
        <v>0</v>
      </c>
      <c r="E159" s="89">
        <f>SUM(C159:D159)</f>
        <v>320000</v>
      </c>
    </row>
    <row r="160" spans="1:5">
      <c r="A160" s="42" t="s">
        <v>405</v>
      </c>
      <c r="B160" s="56" t="s">
        <v>406</v>
      </c>
      <c r="C160" s="66">
        <f>1500000+130000</f>
        <v>1630000</v>
      </c>
      <c r="D160" s="44">
        <v>0</v>
      </c>
      <c r="E160" s="89">
        <f>SUM(C160:D160)</f>
        <v>1630000</v>
      </c>
    </row>
    <row r="161" spans="1:5">
      <c r="A161" s="42" t="s">
        <v>407</v>
      </c>
      <c r="B161" s="56" t="s">
        <v>408</v>
      </c>
      <c r="C161" s="66">
        <v>500000</v>
      </c>
      <c r="D161" s="44">
        <v>0</v>
      </c>
      <c r="E161" s="89">
        <f>SUM(C161:D161)</f>
        <v>500000</v>
      </c>
    </row>
    <row r="162" spans="1:5">
      <c r="A162" s="42" t="s">
        <v>409</v>
      </c>
      <c r="B162" s="56" t="s">
        <v>410</v>
      </c>
      <c r="C162" s="66">
        <v>0</v>
      </c>
      <c r="D162" s="44">
        <v>0</v>
      </c>
      <c r="E162" s="89">
        <f>SUM(C162:D162)</f>
        <v>0</v>
      </c>
    </row>
    <row r="163" spans="1:5">
      <c r="A163" s="45" t="s">
        <v>411</v>
      </c>
      <c r="B163" s="79" t="s">
        <v>412</v>
      </c>
      <c r="C163" s="66">
        <v>0</v>
      </c>
      <c r="D163" s="44">
        <v>68775000</v>
      </c>
      <c r="E163" s="89">
        <f>SUM(C163:D163)</f>
        <v>68775000</v>
      </c>
    </row>
    <row r="164" spans="1:5">
      <c r="A164" s="42" t="s">
        <v>413</v>
      </c>
      <c r="B164" s="56" t="s">
        <v>414</v>
      </c>
      <c r="C164" s="66">
        <f>600000-500000</f>
        <v>100000</v>
      </c>
      <c r="D164" s="44">
        <v>0</v>
      </c>
      <c r="E164" s="89">
        <f>SUM(C164:D164)</f>
        <v>100000</v>
      </c>
    </row>
    <row r="165" spans="1:5">
      <c r="A165" s="42" t="s">
        <v>415</v>
      </c>
      <c r="B165" s="43" t="s">
        <v>416</v>
      </c>
      <c r="C165" s="66"/>
      <c r="D165" s="44"/>
      <c r="E165" s="90"/>
    </row>
    <row r="166" spans="1:5">
      <c r="A166" s="42" t="s">
        <v>417</v>
      </c>
      <c r="B166" s="43" t="s">
        <v>418</v>
      </c>
      <c r="C166" s="66"/>
      <c r="D166" s="44"/>
      <c r="E166" s="90"/>
    </row>
    <row r="167" spans="1:5">
      <c r="A167" s="50" t="s">
        <v>419</v>
      </c>
      <c r="B167" s="51" t="s">
        <v>420</v>
      </c>
      <c r="C167" s="52">
        <f>+C169+C170+C171+C172+C178+C179+C180+C181</f>
        <v>6459800</v>
      </c>
      <c r="D167" s="52">
        <f>+D169+D171+D180</f>
        <v>0</v>
      </c>
      <c r="E167" s="92">
        <f>SUM(C167:D167)</f>
        <v>6459800</v>
      </c>
    </row>
    <row r="168" spans="1:5">
      <c r="A168" s="42" t="s">
        <v>421</v>
      </c>
      <c r="B168" s="43" t="s">
        <v>422</v>
      </c>
      <c r="C168" s="44">
        <f>2140000-300000-4000-600-210000-150000-1400000-30000-45400</f>
        <v>0</v>
      </c>
      <c r="D168" s="44"/>
      <c r="E168" s="89">
        <f>SUM(C168:D168)</f>
        <v>0</v>
      </c>
    </row>
    <row r="169" spans="1:5" ht="30">
      <c r="A169" s="45" t="s">
        <v>423</v>
      </c>
      <c r="B169" s="46" t="s">
        <v>424</v>
      </c>
      <c r="C169" s="80">
        <v>1024800</v>
      </c>
      <c r="D169" s="44">
        <v>0</v>
      </c>
      <c r="E169" s="89">
        <f>SUM(C169:D169)</f>
        <v>1024800</v>
      </c>
    </row>
    <row r="170" spans="1:5">
      <c r="A170" s="45" t="s">
        <v>425</v>
      </c>
      <c r="B170" s="46" t="s">
        <v>426</v>
      </c>
      <c r="C170" s="81">
        <v>500000</v>
      </c>
      <c r="D170" s="44">
        <v>0</v>
      </c>
      <c r="E170" s="89">
        <f>SUM(C170:D170)</f>
        <v>500000</v>
      </c>
    </row>
    <row r="171" spans="1:5">
      <c r="A171" s="42" t="s">
        <v>427</v>
      </c>
      <c r="B171" s="43" t="s">
        <v>428</v>
      </c>
      <c r="C171" s="44">
        <f>1200000+50000</f>
        <v>1250000</v>
      </c>
      <c r="D171" s="44">
        <v>0</v>
      </c>
      <c r="E171" s="89">
        <f>SUM(C171:D171)</f>
        <v>1250000</v>
      </c>
    </row>
    <row r="172" spans="1:5">
      <c r="A172" s="42" t="s">
        <v>429</v>
      </c>
      <c r="B172" s="43" t="s">
        <v>430</v>
      </c>
      <c r="C172" s="44">
        <f>1020000+200000+450000</f>
        <v>1670000</v>
      </c>
      <c r="D172" s="44">
        <v>0</v>
      </c>
      <c r="E172" s="89">
        <f>SUM(C172:D172)</f>
        <v>1670000</v>
      </c>
    </row>
    <row r="173" spans="1:5">
      <c r="A173" s="42" t="s">
        <v>431</v>
      </c>
      <c r="B173" s="43" t="s">
        <v>432</v>
      </c>
      <c r="C173" s="44"/>
      <c r="D173" s="44"/>
      <c r="E173" s="90"/>
    </row>
    <row r="174" spans="1:5">
      <c r="A174" s="42" t="s">
        <v>433</v>
      </c>
      <c r="B174" s="43" t="s">
        <v>434</v>
      </c>
      <c r="C174" s="66"/>
      <c r="D174" s="44"/>
      <c r="E174" s="90"/>
    </row>
    <row r="175" spans="1:5">
      <c r="A175" s="50" t="s">
        <v>435</v>
      </c>
      <c r="B175" s="51" t="s">
        <v>436</v>
      </c>
      <c r="C175" s="99"/>
      <c r="D175" s="99"/>
      <c r="E175" s="100"/>
    </row>
    <row r="176" spans="1:5">
      <c r="A176" s="42" t="s">
        <v>437</v>
      </c>
      <c r="B176" s="43" t="s">
        <v>438</v>
      </c>
      <c r="C176" s="66"/>
      <c r="D176" s="44"/>
      <c r="E176" s="90"/>
    </row>
    <row r="177" spans="1:5" ht="30">
      <c r="A177" s="42" t="s">
        <v>439</v>
      </c>
      <c r="B177" s="46" t="s">
        <v>440</v>
      </c>
      <c r="C177" s="66"/>
      <c r="D177" s="44"/>
      <c r="E177" s="90"/>
    </row>
    <row r="178" spans="1:5" ht="30">
      <c r="A178" s="42" t="s">
        <v>441</v>
      </c>
      <c r="B178" s="46" t="s">
        <v>442</v>
      </c>
      <c r="C178" s="66">
        <v>0</v>
      </c>
      <c r="D178" s="44">
        <v>0</v>
      </c>
      <c r="E178" s="89">
        <f>SUM(C178:D178)</f>
        <v>0</v>
      </c>
    </row>
    <row r="179" spans="1:5" ht="30">
      <c r="A179" s="45" t="s">
        <v>443</v>
      </c>
      <c r="B179" s="83" t="s">
        <v>444</v>
      </c>
      <c r="C179" s="66">
        <f>1000000-35000</f>
        <v>965000</v>
      </c>
      <c r="D179" s="44">
        <v>0</v>
      </c>
      <c r="E179" s="89">
        <f>SUM(C179:D179)</f>
        <v>965000</v>
      </c>
    </row>
    <row r="180" spans="1:5" ht="30">
      <c r="A180" s="45" t="s">
        <v>445</v>
      </c>
      <c r="B180" s="47" t="s">
        <v>446</v>
      </c>
      <c r="C180" s="66">
        <f>1000000-20000</f>
        <v>980000</v>
      </c>
      <c r="D180" s="44">
        <v>0</v>
      </c>
      <c r="E180" s="89">
        <f>SUM(C180:D180)</f>
        <v>980000</v>
      </c>
    </row>
    <row r="181" spans="1:5">
      <c r="A181" s="45" t="s">
        <v>447</v>
      </c>
      <c r="B181" s="47" t="s">
        <v>448</v>
      </c>
      <c r="C181" s="66">
        <f>500000-450000+20000</f>
        <v>70000</v>
      </c>
      <c r="D181" s="44">
        <v>0</v>
      </c>
      <c r="E181" s="89">
        <f>SUM(C181:D181)</f>
        <v>70000</v>
      </c>
    </row>
    <row r="182" spans="1:5" ht="30">
      <c r="A182" s="69" t="s">
        <v>435</v>
      </c>
      <c r="B182" s="84" t="s">
        <v>449</v>
      </c>
      <c r="C182" s="52">
        <f>+C183+C186</f>
        <v>60000</v>
      </c>
      <c r="D182" s="52">
        <f>+D183+D186</f>
        <v>0</v>
      </c>
      <c r="E182" s="92">
        <f>SUM(C182:D182)</f>
        <v>60000</v>
      </c>
    </row>
    <row r="183" spans="1:5" ht="30">
      <c r="A183" s="45" t="s">
        <v>450</v>
      </c>
      <c r="B183" s="46" t="s">
        <v>451</v>
      </c>
      <c r="C183" s="66">
        <f>420000-400000</f>
        <v>20000</v>
      </c>
      <c r="D183" s="44">
        <v>0</v>
      </c>
      <c r="E183" s="89">
        <f>SUM(C183:D183)</f>
        <v>20000</v>
      </c>
    </row>
    <row r="184" spans="1:5">
      <c r="A184" s="69"/>
      <c r="B184" s="51"/>
      <c r="C184" s="82"/>
      <c r="D184" s="82"/>
      <c r="E184" s="90"/>
    </row>
    <row r="185" spans="1:5">
      <c r="A185" s="45"/>
      <c r="B185" s="46"/>
      <c r="C185" s="66"/>
      <c r="D185" s="44"/>
      <c r="E185" s="90"/>
    </row>
    <row r="186" spans="1:5" ht="30">
      <c r="A186" s="45" t="s">
        <v>452</v>
      </c>
      <c r="B186" s="46" t="s">
        <v>453</v>
      </c>
      <c r="C186" s="66">
        <v>40000</v>
      </c>
      <c r="D186" s="44">
        <v>0</v>
      </c>
      <c r="E186" s="89">
        <f>SUM(C186:D186)</f>
        <v>40000</v>
      </c>
    </row>
    <row r="187" spans="1:5" ht="30">
      <c r="A187" s="69" t="s">
        <v>454</v>
      </c>
      <c r="B187" s="71" t="s">
        <v>455</v>
      </c>
      <c r="C187" s="52">
        <f>+C188</f>
        <v>300000</v>
      </c>
      <c r="D187" s="52">
        <f t="shared" ref="D187" si="6">+D188</f>
        <v>0</v>
      </c>
      <c r="E187" s="89">
        <f>SUM(C187:D187)</f>
        <v>300000</v>
      </c>
    </row>
    <row r="188" spans="1:5" ht="45">
      <c r="A188" s="85" t="s">
        <v>456</v>
      </c>
      <c r="B188" s="48" t="s">
        <v>457</v>
      </c>
      <c r="C188" s="66">
        <f>150000+50000+100000</f>
        <v>300000</v>
      </c>
      <c r="D188" s="44">
        <v>0</v>
      </c>
      <c r="E188" s="89">
        <f>SUM(C188:D188)</f>
        <v>300000</v>
      </c>
    </row>
    <row r="189" spans="1:5">
      <c r="A189" s="50" t="s">
        <v>458</v>
      </c>
      <c r="B189" s="51" t="s">
        <v>459</v>
      </c>
      <c r="C189" s="52">
        <f>+C190+C191+C192+C193+C194+C195+C197+C199+C200+C201+C202+C203+C205+C206+C207+C208+C209+C210+C211+C212+C213</f>
        <v>9615000</v>
      </c>
      <c r="D189" s="52">
        <f>+D190+D191+D192+D193+D195+D196+D197+D198+D199+D200+D201+D202+D203+D204+D205+D206+D207+D208+D209+D210+D211+D212+D213</f>
        <v>201673077.73000002</v>
      </c>
      <c r="E189" s="92">
        <f>SUM(C189:D189)</f>
        <v>211288077.73000002</v>
      </c>
    </row>
    <row r="190" spans="1:5">
      <c r="A190" s="63" t="s">
        <v>460</v>
      </c>
      <c r="B190" s="56" t="s">
        <v>461</v>
      </c>
      <c r="C190" s="44">
        <f>1500000-500000</f>
        <v>1000000</v>
      </c>
      <c r="D190" s="44">
        <v>0</v>
      </c>
      <c r="E190" s="89">
        <f>SUM(C190:D190)</f>
        <v>1000000</v>
      </c>
    </row>
    <row r="191" spans="1:5" ht="30">
      <c r="A191" s="55" t="s">
        <v>462</v>
      </c>
      <c r="B191" s="61" t="s">
        <v>463</v>
      </c>
      <c r="C191" s="44">
        <f>1500000-100000-1300000+810000</f>
        <v>910000</v>
      </c>
      <c r="D191" s="44">
        <v>0</v>
      </c>
      <c r="E191" s="89">
        <f>SUM(C191:D191)</f>
        <v>910000</v>
      </c>
    </row>
    <row r="192" spans="1:5" ht="30">
      <c r="A192" s="86" t="s">
        <v>464</v>
      </c>
      <c r="B192" s="59" t="s">
        <v>465</v>
      </c>
      <c r="C192" s="66">
        <f>62000000+200000-60000000</f>
        <v>2200000</v>
      </c>
      <c r="D192" s="44">
        <v>0</v>
      </c>
      <c r="E192" s="89">
        <f>SUM(C192:D192)</f>
        <v>2200000</v>
      </c>
    </row>
    <row r="193" spans="1:5">
      <c r="A193" s="63" t="s">
        <v>466</v>
      </c>
      <c r="B193" s="56" t="s">
        <v>467</v>
      </c>
      <c r="C193" s="66">
        <f>500000+900000</f>
        <v>1400000</v>
      </c>
      <c r="D193" s="44">
        <v>0</v>
      </c>
      <c r="E193" s="89">
        <f>SUM(C193:D193)</f>
        <v>1400000</v>
      </c>
    </row>
    <row r="194" spans="1:5" ht="30">
      <c r="A194" s="55" t="s">
        <v>468</v>
      </c>
      <c r="B194" s="59" t="s">
        <v>469</v>
      </c>
      <c r="C194" s="66">
        <v>0</v>
      </c>
      <c r="D194" s="44">
        <v>0</v>
      </c>
      <c r="E194" s="89">
        <f>SUM(C194:D194)</f>
        <v>0</v>
      </c>
    </row>
    <row r="195" spans="1:5">
      <c r="A195" s="63" t="s">
        <v>470</v>
      </c>
      <c r="B195" s="56" t="s">
        <v>471</v>
      </c>
      <c r="C195" s="66">
        <v>3500000</v>
      </c>
      <c r="D195" s="44">
        <v>0</v>
      </c>
      <c r="E195" s="89">
        <f>SUM(C195:D195)</f>
        <v>3500000</v>
      </c>
    </row>
    <row r="196" spans="1:5">
      <c r="A196" s="63" t="s">
        <v>472</v>
      </c>
      <c r="B196" s="56" t="s">
        <v>473</v>
      </c>
      <c r="C196" s="66">
        <v>0</v>
      </c>
      <c r="D196" s="44">
        <v>2934070</v>
      </c>
      <c r="E196" s="89">
        <f>SUM(C196:D196)</f>
        <v>2934070</v>
      </c>
    </row>
    <row r="197" spans="1:5">
      <c r="A197" s="63" t="s">
        <v>474</v>
      </c>
      <c r="B197" s="56" t="s">
        <v>475</v>
      </c>
      <c r="C197" s="66">
        <v>500000</v>
      </c>
      <c r="D197" s="44"/>
      <c r="E197" s="89">
        <f>SUM(C197:D197)</f>
        <v>500000</v>
      </c>
    </row>
    <row r="198" spans="1:5">
      <c r="A198" s="63" t="s">
        <v>476</v>
      </c>
      <c r="B198" s="56" t="s">
        <v>477</v>
      </c>
      <c r="C198" s="66">
        <v>0</v>
      </c>
      <c r="D198" s="44">
        <v>0</v>
      </c>
      <c r="E198" s="89">
        <f>SUM(C198:D198)</f>
        <v>0</v>
      </c>
    </row>
    <row r="199" spans="1:5">
      <c r="A199" s="55" t="s">
        <v>478</v>
      </c>
      <c r="B199" s="61" t="s">
        <v>479</v>
      </c>
      <c r="C199" s="66">
        <v>5000</v>
      </c>
      <c r="D199" s="44">
        <v>0</v>
      </c>
      <c r="E199" s="89">
        <f>SUM(C199:D199)</f>
        <v>5000</v>
      </c>
    </row>
    <row r="200" spans="1:5" ht="30">
      <c r="A200" s="55" t="s">
        <v>480</v>
      </c>
      <c r="B200" s="61" t="s">
        <v>481</v>
      </c>
      <c r="C200" s="66">
        <v>0</v>
      </c>
      <c r="D200" s="44">
        <v>0</v>
      </c>
      <c r="E200" s="89">
        <f>SUM(C200:D200)</f>
        <v>0</v>
      </c>
    </row>
    <row r="201" spans="1:5">
      <c r="A201" s="55" t="s">
        <v>482</v>
      </c>
      <c r="B201" s="61" t="s">
        <v>483</v>
      </c>
      <c r="C201" s="66">
        <v>0</v>
      </c>
      <c r="D201" s="44">
        <v>0</v>
      </c>
      <c r="E201" s="89">
        <f>SUM(C201:D201)</f>
        <v>0</v>
      </c>
    </row>
    <row r="202" spans="1:5">
      <c r="A202" s="63" t="s">
        <v>484</v>
      </c>
      <c r="B202" s="56" t="s">
        <v>485</v>
      </c>
      <c r="C202" s="66">
        <v>0</v>
      </c>
      <c r="D202" s="44">
        <v>0</v>
      </c>
      <c r="E202" s="89">
        <f>SUM(C202:D202)</f>
        <v>0</v>
      </c>
    </row>
    <row r="203" spans="1:5" ht="30">
      <c r="A203" s="55" t="s">
        <v>468</v>
      </c>
      <c r="B203" s="61" t="s">
        <v>486</v>
      </c>
      <c r="C203" s="66">
        <v>0</v>
      </c>
      <c r="D203" s="44">
        <v>0</v>
      </c>
      <c r="E203" s="89">
        <f>SUM(C203:D203)</f>
        <v>0</v>
      </c>
    </row>
    <row r="204" spans="1:5">
      <c r="A204" s="55" t="s">
        <v>476</v>
      </c>
      <c r="B204" s="61" t="s">
        <v>477</v>
      </c>
      <c r="C204" s="66">
        <v>0</v>
      </c>
      <c r="D204" s="49">
        <v>58601990</v>
      </c>
      <c r="E204" s="89">
        <f>SUM(C204:D204)</f>
        <v>58601990</v>
      </c>
    </row>
    <row r="205" spans="1:5">
      <c r="A205" s="63" t="s">
        <v>487</v>
      </c>
      <c r="B205" s="62" t="s">
        <v>488</v>
      </c>
      <c r="C205" s="66">
        <v>0</v>
      </c>
      <c r="D205" s="44">
        <v>0</v>
      </c>
      <c r="E205" s="89">
        <f>SUM(C205:D205)</f>
        <v>0</v>
      </c>
    </row>
    <row r="206" spans="1:5">
      <c r="A206" s="63" t="s">
        <v>489</v>
      </c>
      <c r="B206" s="56" t="s">
        <v>490</v>
      </c>
      <c r="C206" s="66">
        <v>0</v>
      </c>
      <c r="D206" s="44">
        <v>0</v>
      </c>
      <c r="E206" s="89">
        <f>SUM(C206:D206)</f>
        <v>0</v>
      </c>
    </row>
    <row r="207" spans="1:5" ht="30">
      <c r="A207" s="55" t="s">
        <v>491</v>
      </c>
      <c r="B207" s="61" t="s">
        <v>492</v>
      </c>
      <c r="C207" s="66">
        <v>0</v>
      </c>
      <c r="D207" s="44">
        <v>0</v>
      </c>
      <c r="E207" s="89">
        <f>SUM(C207:D207)</f>
        <v>0</v>
      </c>
    </row>
    <row r="208" spans="1:5">
      <c r="A208" s="55" t="s">
        <v>482</v>
      </c>
      <c r="B208" s="61" t="s">
        <v>483</v>
      </c>
      <c r="C208" s="66">
        <f>150000-100000</f>
        <v>50000</v>
      </c>
      <c r="D208" s="44">
        <v>0</v>
      </c>
      <c r="E208" s="89">
        <f>SUM(C208:D208)</f>
        <v>50000</v>
      </c>
    </row>
    <row r="209" spans="1:5">
      <c r="A209" s="55" t="s">
        <v>493</v>
      </c>
      <c r="B209" s="61" t="s">
        <v>494</v>
      </c>
      <c r="C209" s="66">
        <f>500000-200000-250000</f>
        <v>50000</v>
      </c>
      <c r="D209" s="44">
        <v>0</v>
      </c>
      <c r="E209" s="89">
        <f>SUM(C209:D209)</f>
        <v>50000</v>
      </c>
    </row>
    <row r="210" spans="1:5">
      <c r="A210" s="45" t="s">
        <v>495</v>
      </c>
      <c r="B210" s="46" t="s">
        <v>194</v>
      </c>
      <c r="C210" s="49"/>
      <c r="D210" s="49">
        <v>108137017.73</v>
      </c>
      <c r="E210" s="89">
        <f>SUM(C210:D210)</f>
        <v>108137017.73</v>
      </c>
    </row>
    <row r="211" spans="1:5">
      <c r="A211" s="55" t="s">
        <v>496</v>
      </c>
      <c r="B211" s="61" t="s">
        <v>497</v>
      </c>
      <c r="C211" s="66"/>
      <c r="D211" s="44">
        <v>0</v>
      </c>
      <c r="E211" s="89">
        <f>SUM(C211:D211)</f>
        <v>0</v>
      </c>
    </row>
    <row r="212" spans="1:5">
      <c r="A212" s="63" t="s">
        <v>498</v>
      </c>
      <c r="B212" s="56" t="s">
        <v>499</v>
      </c>
      <c r="C212" s="66">
        <v>0</v>
      </c>
      <c r="D212" s="44">
        <v>0</v>
      </c>
      <c r="E212" s="89">
        <f>SUM(C212:D212)</f>
        <v>0</v>
      </c>
    </row>
    <row r="213" spans="1:5">
      <c r="A213" s="63" t="s">
        <v>500</v>
      </c>
      <c r="B213" s="56" t="s">
        <v>501</v>
      </c>
      <c r="C213" s="66"/>
      <c r="D213" s="44">
        <v>32000000</v>
      </c>
      <c r="E213" s="89">
        <f>SUM(C213:D213)</f>
        <v>32000000</v>
      </c>
    </row>
    <row r="214" spans="1:5">
      <c r="A214" s="50" t="s">
        <v>502</v>
      </c>
      <c r="B214" s="50" t="s">
        <v>503</v>
      </c>
      <c r="C214" s="52">
        <f>+C215</f>
        <v>14000000</v>
      </c>
      <c r="D214" s="52">
        <f t="shared" ref="D214" si="7">+D215</f>
        <v>0</v>
      </c>
      <c r="E214" s="92">
        <f>SUM(C214:D214)</f>
        <v>14000000</v>
      </c>
    </row>
    <row r="215" spans="1:5">
      <c r="A215" s="63" t="s">
        <v>504</v>
      </c>
      <c r="B215" s="56" t="s">
        <v>505</v>
      </c>
      <c r="C215" s="66">
        <f>8000000+6000000</f>
        <v>14000000</v>
      </c>
      <c r="D215" s="44">
        <v>0</v>
      </c>
      <c r="E215" s="89">
        <f>SUM(C215:D215)</f>
        <v>14000000</v>
      </c>
    </row>
    <row r="216" spans="1:5">
      <c r="A216" s="50" t="s">
        <v>506</v>
      </c>
      <c r="B216" s="51" t="s">
        <v>507</v>
      </c>
      <c r="C216" s="52">
        <f>+C217</f>
        <v>1700000</v>
      </c>
      <c r="D216" s="52">
        <f t="shared" ref="D216" si="8">+D217</f>
        <v>0</v>
      </c>
      <c r="E216" s="92">
        <f>SUM(C216:D216)</f>
        <v>1700000</v>
      </c>
    </row>
    <row r="217" spans="1:5">
      <c r="A217" s="55" t="s">
        <v>508</v>
      </c>
      <c r="B217" s="59" t="s">
        <v>509</v>
      </c>
      <c r="C217" s="66">
        <f>2000000-300000</f>
        <v>1700000</v>
      </c>
      <c r="D217" s="44">
        <v>0</v>
      </c>
      <c r="E217" s="89">
        <f>SUM(C217:D217)</f>
        <v>1700000</v>
      </c>
    </row>
    <row r="218" spans="1:5" ht="30">
      <c r="A218" s="69" t="s">
        <v>510</v>
      </c>
      <c r="B218" s="71" t="s">
        <v>511</v>
      </c>
      <c r="C218" s="52">
        <f>+C219</f>
        <v>20000</v>
      </c>
      <c r="D218" s="52">
        <f>+D219</f>
        <v>0</v>
      </c>
      <c r="E218" s="92">
        <f>SUM(C218:D218)</f>
        <v>20000</v>
      </c>
    </row>
    <row r="219" spans="1:5" ht="30">
      <c r="A219" s="55" t="s">
        <v>512</v>
      </c>
      <c r="B219" s="59" t="s">
        <v>513</v>
      </c>
      <c r="C219" s="66">
        <v>20000</v>
      </c>
      <c r="D219" s="44"/>
      <c r="E219" s="89">
        <f>SUM(C219:D219)</f>
        <v>20000</v>
      </c>
    </row>
    <row r="220" spans="1:5">
      <c r="A220" s="87" t="s">
        <v>514</v>
      </c>
      <c r="B220" s="87"/>
      <c r="C220" s="88">
        <f>+C214+C189+C187+C182+C167+C153+C133+C114+C108+C105+C100+C95+C65+C52+C49+C37+C34+C31+C23+C3+C84+C44+C216+C218</f>
        <v>1355634688</v>
      </c>
      <c r="D220" s="88">
        <f>+D218+D216+D214+D189+D187+D182+D167+D153+D133+D114+D108+D105+D100+D95+D84+D65+D52+D49+D44+D37+D31+D23+D34+D3</f>
        <v>459022531</v>
      </c>
      <c r="E220" s="101">
        <f>SUM(C220:D220)</f>
        <v>1814657219</v>
      </c>
    </row>
  </sheetData>
  <mergeCells count="4">
    <mergeCell ref="A1:A2"/>
    <mergeCell ref="B1:B2"/>
    <mergeCell ref="A220:B220"/>
    <mergeCell ref="E1:E2"/>
  </mergeCells>
  <pageMargins left="0.23" right="0.34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P3 Ejecucion 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2021-12-17T18:09:16Z</cp:lastPrinted>
  <dcterms:created xsi:type="dcterms:W3CDTF">2021-07-29T18:58:50Z</dcterms:created>
  <dcterms:modified xsi:type="dcterms:W3CDTF">2021-12-17T18:18:21Z</dcterms:modified>
</cp:coreProperties>
</file>