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 activeTab="2"/>
  </bookViews>
  <sheets>
    <sheet name="ENERO 2019" sheetId="1" r:id="rId1"/>
    <sheet name="FEBRERO 2019" sheetId="2" r:id="rId2"/>
    <sheet name="MARZO 2019" sheetId="3" r:id="rId3"/>
  </sheets>
  <calcPr calcId="124519"/>
</workbook>
</file>

<file path=xl/calcChain.xml><?xml version="1.0" encoding="utf-8"?>
<calcChain xmlns="http://schemas.openxmlformats.org/spreadsheetml/2006/main">
  <c r="R21" i="3"/>
  <c r="C18"/>
  <c r="D18"/>
  <c r="S18"/>
  <c r="W18" s="1"/>
  <c r="X18" s="1"/>
  <c r="P158"/>
  <c r="Q17"/>
  <c r="P17"/>
  <c r="T18" l="1"/>
  <c r="R150"/>
  <c r="R127"/>
  <c r="R115"/>
  <c r="R104"/>
  <c r="R99"/>
  <c r="R29"/>
  <c r="R15"/>
  <c r="Q15"/>
  <c r="Q29"/>
  <c r="R91"/>
  <c r="R86"/>
  <c r="R75"/>
  <c r="R62"/>
  <c r="R52"/>
  <c r="R47"/>
  <c r="R42"/>
  <c r="R39"/>
  <c r="R36"/>
  <c r="S133"/>
  <c r="C133"/>
  <c r="D134"/>
  <c r="S130"/>
  <c r="U130" s="1"/>
  <c r="V130" s="1"/>
  <c r="D130"/>
  <c r="C125"/>
  <c r="C115" s="1"/>
  <c r="D126"/>
  <c r="P125"/>
  <c r="P115" s="1"/>
  <c r="C101"/>
  <c r="S112"/>
  <c r="U112" s="1"/>
  <c r="V112" s="1"/>
  <c r="D112"/>
  <c r="C27"/>
  <c r="C70"/>
  <c r="C62" s="1"/>
  <c r="S56"/>
  <c r="W56" s="1"/>
  <c r="X56" s="1"/>
  <c r="R158"/>
  <c r="R146"/>
  <c r="R137"/>
  <c r="R96"/>
  <c r="R50"/>
  <c r="M174"/>
  <c r="L174"/>
  <c r="K174"/>
  <c r="O173"/>
  <c r="S164"/>
  <c r="W164" s="1"/>
  <c r="X164" s="1"/>
  <c r="J164"/>
  <c r="D164"/>
  <c r="S161"/>
  <c r="W161" s="1"/>
  <c r="X161" s="1"/>
  <c r="J161"/>
  <c r="D161"/>
  <c r="S159"/>
  <c r="Q158"/>
  <c r="S157"/>
  <c r="W157" s="1"/>
  <c r="X157" s="1"/>
  <c r="D157"/>
  <c r="S156"/>
  <c r="W156" s="1"/>
  <c r="X156" s="1"/>
  <c r="D156"/>
  <c r="S155"/>
  <c r="S154"/>
  <c r="W154" s="1"/>
  <c r="X154" s="1"/>
  <c r="D154"/>
  <c r="S153"/>
  <c r="S152"/>
  <c r="W152" s="1"/>
  <c r="X152" s="1"/>
  <c r="K152"/>
  <c r="K150" s="1"/>
  <c r="D152"/>
  <c r="P151"/>
  <c r="P150" s="1"/>
  <c r="D151"/>
  <c r="Q150"/>
  <c r="O150"/>
  <c r="N150"/>
  <c r="M150"/>
  <c r="L150"/>
  <c r="J150"/>
  <c r="I150"/>
  <c r="H150"/>
  <c r="G150"/>
  <c r="F150"/>
  <c r="E150"/>
  <c r="C150"/>
  <c r="S149"/>
  <c r="U149" s="1"/>
  <c r="V149" s="1"/>
  <c r="S148"/>
  <c r="U148" s="1"/>
  <c r="V148" s="1"/>
  <c r="S147"/>
  <c r="U147" s="1"/>
  <c r="V147" s="1"/>
  <c r="D147"/>
  <c r="D146" s="1"/>
  <c r="Q146"/>
  <c r="P146"/>
  <c r="O146"/>
  <c r="N146"/>
  <c r="M146"/>
  <c r="L146"/>
  <c r="K146"/>
  <c r="J146"/>
  <c r="I146"/>
  <c r="H146"/>
  <c r="G146"/>
  <c r="F146"/>
  <c r="E146"/>
  <c r="C146"/>
  <c r="S140"/>
  <c r="U140" s="1"/>
  <c r="V140" s="1"/>
  <c r="O140"/>
  <c r="O137" s="1"/>
  <c r="N140"/>
  <c r="N137" s="1"/>
  <c r="M140"/>
  <c r="M137" s="1"/>
  <c r="I140"/>
  <c r="I137" s="1"/>
  <c r="G140"/>
  <c r="G137" s="1"/>
  <c r="D140"/>
  <c r="Q139"/>
  <c r="Q137" s="1"/>
  <c r="P139"/>
  <c r="D139"/>
  <c r="S138"/>
  <c r="C138"/>
  <c r="D138" s="1"/>
  <c r="L137"/>
  <c r="K137"/>
  <c r="J137"/>
  <c r="H137"/>
  <c r="F137"/>
  <c r="E137"/>
  <c r="S134"/>
  <c r="S132"/>
  <c r="W132" s="1"/>
  <c r="X132" s="1"/>
  <c r="D132"/>
  <c r="S131"/>
  <c r="W131" s="1"/>
  <c r="X131" s="1"/>
  <c r="D131"/>
  <c r="S129"/>
  <c r="U129" s="1"/>
  <c r="V129" s="1"/>
  <c r="D129"/>
  <c r="S128"/>
  <c r="U128" s="1"/>
  <c r="V128" s="1"/>
  <c r="D128"/>
  <c r="Q127"/>
  <c r="P127"/>
  <c r="O127"/>
  <c r="N127"/>
  <c r="M127"/>
  <c r="L127"/>
  <c r="K127"/>
  <c r="J127"/>
  <c r="I127"/>
  <c r="H127"/>
  <c r="G127"/>
  <c r="F127"/>
  <c r="E127"/>
  <c r="S124"/>
  <c r="U124" s="1"/>
  <c r="V124" s="1"/>
  <c r="H124"/>
  <c r="D124"/>
  <c r="S123"/>
  <c r="W123" s="1"/>
  <c r="X123" s="1"/>
  <c r="D123"/>
  <c r="S122"/>
  <c r="W122" s="1"/>
  <c r="X122" s="1"/>
  <c r="H122"/>
  <c r="D122"/>
  <c r="S121"/>
  <c r="W121" s="1"/>
  <c r="X121" s="1"/>
  <c r="D121"/>
  <c r="Q120"/>
  <c r="S120" s="1"/>
  <c r="W120" s="1"/>
  <c r="X120" s="1"/>
  <c r="O120"/>
  <c r="M120"/>
  <c r="M115" s="1"/>
  <c r="K120"/>
  <c r="J120"/>
  <c r="I120"/>
  <c r="G120"/>
  <c r="F120"/>
  <c r="E120"/>
  <c r="D120"/>
  <c r="S119"/>
  <c r="W119" s="1"/>
  <c r="X119" s="1"/>
  <c r="D119"/>
  <c r="S118"/>
  <c r="W118" s="1"/>
  <c r="X118" s="1"/>
  <c r="D118"/>
  <c r="S117"/>
  <c r="W117" s="1"/>
  <c r="X117" s="1"/>
  <c r="D117"/>
  <c r="S116"/>
  <c r="W116" s="1"/>
  <c r="X116" s="1"/>
  <c r="O116"/>
  <c r="O115" s="1"/>
  <c r="N116"/>
  <c r="N115" s="1"/>
  <c r="L116"/>
  <c r="L115" s="1"/>
  <c r="K116"/>
  <c r="J116"/>
  <c r="I116"/>
  <c r="H116"/>
  <c r="G116"/>
  <c r="F116"/>
  <c r="E116"/>
  <c r="D116"/>
  <c r="Q115"/>
  <c r="S113"/>
  <c r="U113" s="1"/>
  <c r="V113" s="1"/>
  <c r="L113"/>
  <c r="L104" s="1"/>
  <c r="D113"/>
  <c r="S111"/>
  <c r="U111" s="1"/>
  <c r="V111" s="1"/>
  <c r="D111"/>
  <c r="S110"/>
  <c r="W110" s="1"/>
  <c r="X110" s="1"/>
  <c r="D110"/>
  <c r="Q109"/>
  <c r="Q104" s="1"/>
  <c r="P109"/>
  <c r="P104" s="1"/>
  <c r="D109"/>
  <c r="S108"/>
  <c r="W108" s="1"/>
  <c r="X108" s="1"/>
  <c r="D108"/>
  <c r="S107"/>
  <c r="W107" s="1"/>
  <c r="X107" s="1"/>
  <c r="D107"/>
  <c r="S106"/>
  <c r="W106" s="1"/>
  <c r="X106" s="1"/>
  <c r="H106"/>
  <c r="H104" s="1"/>
  <c r="F106"/>
  <c r="F104" s="1"/>
  <c r="D106"/>
  <c r="S105"/>
  <c r="C105"/>
  <c r="D105" s="1"/>
  <c r="O104"/>
  <c r="N104"/>
  <c r="M104"/>
  <c r="K104"/>
  <c r="J104"/>
  <c r="I104"/>
  <c r="G104"/>
  <c r="E104"/>
  <c r="S103"/>
  <c r="D103"/>
  <c r="S102"/>
  <c r="W102" s="1"/>
  <c r="X102" s="1"/>
  <c r="N102"/>
  <c r="N99" s="1"/>
  <c r="D102"/>
  <c r="S101"/>
  <c r="S100"/>
  <c r="W100" s="1"/>
  <c r="X100" s="1"/>
  <c r="D100"/>
  <c r="Q99"/>
  <c r="P99"/>
  <c r="O99"/>
  <c r="M99"/>
  <c r="L99"/>
  <c r="K99"/>
  <c r="J99"/>
  <c r="I99"/>
  <c r="H99"/>
  <c r="G99"/>
  <c r="F99"/>
  <c r="E99"/>
  <c r="S98"/>
  <c r="W98" s="1"/>
  <c r="X98" s="1"/>
  <c r="D98"/>
  <c r="S97"/>
  <c r="U97" s="1"/>
  <c r="V97" s="1"/>
  <c r="D97"/>
  <c r="Q96"/>
  <c r="P96"/>
  <c r="O96"/>
  <c r="N96"/>
  <c r="M96"/>
  <c r="L96"/>
  <c r="K96"/>
  <c r="J96"/>
  <c r="I96"/>
  <c r="H96"/>
  <c r="G96"/>
  <c r="F96"/>
  <c r="E96"/>
  <c r="C96"/>
  <c r="S95"/>
  <c r="W95" s="1"/>
  <c r="X95" s="1"/>
  <c r="D95"/>
  <c r="S94"/>
  <c r="W94" s="1"/>
  <c r="X94" s="1"/>
  <c r="D94"/>
  <c r="S93"/>
  <c r="W93" s="1"/>
  <c r="X93" s="1"/>
  <c r="D93"/>
  <c r="S92"/>
  <c r="W92" s="1"/>
  <c r="D92"/>
  <c r="Q91"/>
  <c r="P91"/>
  <c r="O91"/>
  <c r="N91"/>
  <c r="M91"/>
  <c r="L91"/>
  <c r="K91"/>
  <c r="J91"/>
  <c r="I91"/>
  <c r="H91"/>
  <c r="G91"/>
  <c r="F91"/>
  <c r="E91"/>
  <c r="C91"/>
  <c r="S90"/>
  <c r="W90" s="1"/>
  <c r="X90" s="1"/>
  <c r="D90"/>
  <c r="S89"/>
  <c r="T89" s="1"/>
  <c r="D89"/>
  <c r="S88"/>
  <c r="W88" s="1"/>
  <c r="X88" s="1"/>
  <c r="D88"/>
  <c r="S87"/>
  <c r="U87" s="1"/>
  <c r="V87" s="1"/>
  <c r="N87"/>
  <c r="N86" s="1"/>
  <c r="L87"/>
  <c r="L86" s="1"/>
  <c r="K87"/>
  <c r="I87"/>
  <c r="I86" s="1"/>
  <c r="H87"/>
  <c r="H86" s="1"/>
  <c r="D87"/>
  <c r="Q86"/>
  <c r="P86"/>
  <c r="O86"/>
  <c r="M86"/>
  <c r="K86"/>
  <c r="J86"/>
  <c r="G86"/>
  <c r="F86"/>
  <c r="E86"/>
  <c r="C86"/>
  <c r="S80"/>
  <c r="T80" s="1"/>
  <c r="S79"/>
  <c r="W79" s="1"/>
  <c r="X79" s="1"/>
  <c r="D79"/>
  <c r="S78"/>
  <c r="W78" s="1"/>
  <c r="X78" s="1"/>
  <c r="D78"/>
  <c r="S77"/>
  <c r="D77"/>
  <c r="Q76"/>
  <c r="Q75" s="1"/>
  <c r="P76"/>
  <c r="P75" s="1"/>
  <c r="D76"/>
  <c r="O75"/>
  <c r="N75"/>
  <c r="M75"/>
  <c r="L75"/>
  <c r="K75"/>
  <c r="J75"/>
  <c r="I75"/>
  <c r="H75"/>
  <c r="G75"/>
  <c r="F75"/>
  <c r="E75"/>
  <c r="C75"/>
  <c r="S73"/>
  <c r="U73" s="1"/>
  <c r="V73" s="1"/>
  <c r="D73"/>
  <c r="S72"/>
  <c r="W72" s="1"/>
  <c r="X72" s="1"/>
  <c r="D72"/>
  <c r="S71"/>
  <c r="T71" s="1"/>
  <c r="D71"/>
  <c r="S70"/>
  <c r="S69"/>
  <c r="D69"/>
  <c r="S68"/>
  <c r="W68" s="1"/>
  <c r="X68" s="1"/>
  <c r="D68"/>
  <c r="S67"/>
  <c r="W67" s="1"/>
  <c r="X67" s="1"/>
  <c r="D67"/>
  <c r="S66"/>
  <c r="S65"/>
  <c r="W65" s="1"/>
  <c r="X65" s="1"/>
  <c r="M65"/>
  <c r="M62" s="1"/>
  <c r="D65"/>
  <c r="P64"/>
  <c r="S64" s="1"/>
  <c r="Q62"/>
  <c r="O62"/>
  <c r="N62"/>
  <c r="L62"/>
  <c r="K62"/>
  <c r="J62"/>
  <c r="I62"/>
  <c r="H62"/>
  <c r="G62"/>
  <c r="F62"/>
  <c r="E62"/>
  <c r="S61"/>
  <c r="W61" s="1"/>
  <c r="X61" s="1"/>
  <c r="D61"/>
  <c r="S60"/>
  <c r="W60" s="1"/>
  <c r="X60" s="1"/>
  <c r="D60"/>
  <c r="Q59"/>
  <c r="Q52" s="1"/>
  <c r="P59"/>
  <c r="P52" s="1"/>
  <c r="D59"/>
  <c r="S58"/>
  <c r="W58" s="1"/>
  <c r="X58" s="1"/>
  <c r="D58"/>
  <c r="S57"/>
  <c r="W57" s="1"/>
  <c r="X57" s="1"/>
  <c r="D57"/>
  <c r="S55"/>
  <c r="W55" s="1"/>
  <c r="X55" s="1"/>
  <c r="S54"/>
  <c r="W54" s="1"/>
  <c r="X54" s="1"/>
  <c r="D54"/>
  <c r="S53"/>
  <c r="W53" s="1"/>
  <c r="D53"/>
  <c r="O52"/>
  <c r="N52"/>
  <c r="M52"/>
  <c r="L52"/>
  <c r="K52"/>
  <c r="J52"/>
  <c r="I52"/>
  <c r="H52"/>
  <c r="G52"/>
  <c r="F52"/>
  <c r="E52"/>
  <c r="C52"/>
  <c r="S51"/>
  <c r="W51" s="1"/>
  <c r="Q50"/>
  <c r="P50"/>
  <c r="O50"/>
  <c r="N50"/>
  <c r="M50"/>
  <c r="L50"/>
  <c r="K50"/>
  <c r="J50"/>
  <c r="I50"/>
  <c r="H50"/>
  <c r="G50"/>
  <c r="F50"/>
  <c r="E50"/>
  <c r="D50"/>
  <c r="C50"/>
  <c r="S49"/>
  <c r="W49" s="1"/>
  <c r="X49" s="1"/>
  <c r="D49"/>
  <c r="S48"/>
  <c r="W48" s="1"/>
  <c r="X48" s="1"/>
  <c r="D48"/>
  <c r="Q47"/>
  <c r="P47"/>
  <c r="O47"/>
  <c r="N47"/>
  <c r="M47"/>
  <c r="L47"/>
  <c r="K47"/>
  <c r="J47"/>
  <c r="I47"/>
  <c r="H47"/>
  <c r="G47"/>
  <c r="F47"/>
  <c r="E47"/>
  <c r="C47"/>
  <c r="S46"/>
  <c r="S45"/>
  <c r="S44"/>
  <c r="T44" s="1"/>
  <c r="M44"/>
  <c r="M42" s="1"/>
  <c r="D44"/>
  <c r="S43"/>
  <c r="T43" s="1"/>
  <c r="D43"/>
  <c r="Q42"/>
  <c r="P42"/>
  <c r="O42"/>
  <c r="N42"/>
  <c r="L42"/>
  <c r="K42"/>
  <c r="J42"/>
  <c r="I42"/>
  <c r="H42"/>
  <c r="G42"/>
  <c r="F42"/>
  <c r="E42"/>
  <c r="C42"/>
  <c r="S41"/>
  <c r="T41" s="1"/>
  <c r="D41"/>
  <c r="S40"/>
  <c r="C40"/>
  <c r="Q39"/>
  <c r="P39"/>
  <c r="O39"/>
  <c r="N39"/>
  <c r="M39"/>
  <c r="L39"/>
  <c r="K39"/>
  <c r="J39"/>
  <c r="I39"/>
  <c r="H39"/>
  <c r="G39"/>
  <c r="F39"/>
  <c r="E39"/>
  <c r="S38"/>
  <c r="T38" s="1"/>
  <c r="D38"/>
  <c r="S37"/>
  <c r="W37" s="1"/>
  <c r="D37"/>
  <c r="Q36"/>
  <c r="P36"/>
  <c r="O36"/>
  <c r="N36"/>
  <c r="M36"/>
  <c r="L36"/>
  <c r="K36"/>
  <c r="J36"/>
  <c r="I36"/>
  <c r="H36"/>
  <c r="G36"/>
  <c r="F36"/>
  <c r="E36"/>
  <c r="C36"/>
  <c r="S35"/>
  <c r="W35" s="1"/>
  <c r="X35" s="1"/>
  <c r="D35"/>
  <c r="S34"/>
  <c r="W34" s="1"/>
  <c r="X34" s="1"/>
  <c r="D34"/>
  <c r="S33"/>
  <c r="S32"/>
  <c r="U32" s="1"/>
  <c r="V32" s="1"/>
  <c r="D32"/>
  <c r="S31"/>
  <c r="W31" s="1"/>
  <c r="D31"/>
  <c r="P29"/>
  <c r="O29"/>
  <c r="N29"/>
  <c r="M29"/>
  <c r="L29"/>
  <c r="K29"/>
  <c r="J29"/>
  <c r="I29"/>
  <c r="H29"/>
  <c r="G29"/>
  <c r="F29"/>
  <c r="E29"/>
  <c r="C29"/>
  <c r="S28"/>
  <c r="D28"/>
  <c r="S27"/>
  <c r="S26"/>
  <c r="T26" s="1"/>
  <c r="D26"/>
  <c r="S25"/>
  <c r="W25" s="1"/>
  <c r="X25" s="1"/>
  <c r="D25"/>
  <c r="S24"/>
  <c r="C24"/>
  <c r="S23"/>
  <c r="W23" s="1"/>
  <c r="X23" s="1"/>
  <c r="D23"/>
  <c r="S22"/>
  <c r="W22" s="1"/>
  <c r="X22" s="1"/>
  <c r="D22"/>
  <c r="P21"/>
  <c r="S21" s="1"/>
  <c r="T21" s="1"/>
  <c r="C21"/>
  <c r="S20"/>
  <c r="W20" s="1"/>
  <c r="X20" s="1"/>
  <c r="D20"/>
  <c r="S19"/>
  <c r="U19" s="1"/>
  <c r="V19" s="1"/>
  <c r="O19"/>
  <c r="O15" s="1"/>
  <c r="N19"/>
  <c r="M19"/>
  <c r="M15" s="1"/>
  <c r="L19"/>
  <c r="L15" s="1"/>
  <c r="K19"/>
  <c r="K15" s="1"/>
  <c r="J19"/>
  <c r="J15" s="1"/>
  <c r="I19"/>
  <c r="I15" s="1"/>
  <c r="G19"/>
  <c r="G15" s="1"/>
  <c r="F19"/>
  <c r="F15" s="1"/>
  <c r="E19"/>
  <c r="E15" s="1"/>
  <c r="S17"/>
  <c r="T17" s="1"/>
  <c r="D17"/>
  <c r="P16"/>
  <c r="N16"/>
  <c r="C16"/>
  <c r="H15"/>
  <c r="R169" i="2"/>
  <c r="R138"/>
  <c r="T141"/>
  <c r="S141"/>
  <c r="U141" s="1"/>
  <c r="V141" s="1"/>
  <c r="K141"/>
  <c r="E141"/>
  <c r="R152"/>
  <c r="R31"/>
  <c r="R16" s="1"/>
  <c r="R22"/>
  <c r="R17"/>
  <c r="Q22"/>
  <c r="Q17"/>
  <c r="N178"/>
  <c r="M178"/>
  <c r="L178"/>
  <c r="P177"/>
  <c r="V165"/>
  <c r="U165"/>
  <c r="T165"/>
  <c r="S165"/>
  <c r="W165" s="1"/>
  <c r="X165" s="1"/>
  <c r="K165"/>
  <c r="E165"/>
  <c r="F164"/>
  <c r="S163"/>
  <c r="R162"/>
  <c r="Q162"/>
  <c r="S161"/>
  <c r="E161"/>
  <c r="T160"/>
  <c r="S160"/>
  <c r="W160" s="1"/>
  <c r="X160" s="1"/>
  <c r="E160"/>
  <c r="S158"/>
  <c r="X156"/>
  <c r="W156"/>
  <c r="T156"/>
  <c r="S156"/>
  <c r="E156"/>
  <c r="E152" s="1"/>
  <c r="S155"/>
  <c r="V154"/>
  <c r="U154"/>
  <c r="T154"/>
  <c r="S154"/>
  <c r="W154" s="1"/>
  <c r="X154" s="1"/>
  <c r="L154"/>
  <c r="L152" s="1"/>
  <c r="E154"/>
  <c r="Q153"/>
  <c r="E153"/>
  <c r="P152"/>
  <c r="O152"/>
  <c r="N152"/>
  <c r="M152"/>
  <c r="M164" s="1"/>
  <c r="M162" s="1"/>
  <c r="K152"/>
  <c r="J152"/>
  <c r="I152"/>
  <c r="H152"/>
  <c r="G152"/>
  <c r="F152"/>
  <c r="D152"/>
  <c r="S151"/>
  <c r="U150"/>
  <c r="V150" s="1"/>
  <c r="T150"/>
  <c r="S150"/>
  <c r="W150" s="1"/>
  <c r="X150" s="1"/>
  <c r="W149"/>
  <c r="S149"/>
  <c r="E149"/>
  <c r="R148"/>
  <c r="Q148"/>
  <c r="P148"/>
  <c r="O148"/>
  <c r="N148"/>
  <c r="M148"/>
  <c r="L148"/>
  <c r="K148"/>
  <c r="J148"/>
  <c r="I148"/>
  <c r="H148"/>
  <c r="G148"/>
  <c r="F148"/>
  <c r="E148"/>
  <c r="D148"/>
  <c r="W142"/>
  <c r="X142" s="1"/>
  <c r="S142"/>
  <c r="P142"/>
  <c r="P138" s="1"/>
  <c r="O142"/>
  <c r="O138" s="1"/>
  <c r="N142"/>
  <c r="J142"/>
  <c r="J138" s="1"/>
  <c r="H142"/>
  <c r="H138" s="1"/>
  <c r="E142"/>
  <c r="R140"/>
  <c r="Q140"/>
  <c r="E140"/>
  <c r="S139"/>
  <c r="W139" s="1"/>
  <c r="X139" s="1"/>
  <c r="E139"/>
  <c r="D139"/>
  <c r="T139" s="1"/>
  <c r="N138"/>
  <c r="M138"/>
  <c r="L138"/>
  <c r="K138"/>
  <c r="I138"/>
  <c r="G138"/>
  <c r="F138"/>
  <c r="W135"/>
  <c r="X135" s="1"/>
  <c r="S135"/>
  <c r="E135"/>
  <c r="V134"/>
  <c r="U134"/>
  <c r="T134"/>
  <c r="S134"/>
  <c r="W134" s="1"/>
  <c r="X134" s="1"/>
  <c r="E134"/>
  <c r="E130" s="1"/>
  <c r="U133"/>
  <c r="V133" s="1"/>
  <c r="T133"/>
  <c r="S133"/>
  <c r="W133" s="1"/>
  <c r="X133" s="1"/>
  <c r="E133"/>
  <c r="T132"/>
  <c r="S132"/>
  <c r="W132" s="1"/>
  <c r="X132" s="1"/>
  <c r="E132"/>
  <c r="W131"/>
  <c r="S131"/>
  <c r="E131"/>
  <c r="R130"/>
  <c r="Q130"/>
  <c r="P130"/>
  <c r="O130"/>
  <c r="N130"/>
  <c r="M130"/>
  <c r="L130"/>
  <c r="K130"/>
  <c r="J130"/>
  <c r="I130"/>
  <c r="H130"/>
  <c r="G130"/>
  <c r="F130"/>
  <c r="D130"/>
  <c r="W129"/>
  <c r="X129" s="1"/>
  <c r="S129"/>
  <c r="Q129"/>
  <c r="Q119" s="1"/>
  <c r="E129"/>
  <c r="W128"/>
  <c r="X128" s="1"/>
  <c r="S128"/>
  <c r="I128"/>
  <c r="E128"/>
  <c r="W127"/>
  <c r="X127" s="1"/>
  <c r="S127"/>
  <c r="E127"/>
  <c r="V126"/>
  <c r="U126"/>
  <c r="T126"/>
  <c r="S126"/>
  <c r="W126" s="1"/>
  <c r="X126" s="1"/>
  <c r="I126"/>
  <c r="I119" s="1"/>
  <c r="E126"/>
  <c r="V125"/>
  <c r="U125"/>
  <c r="T125"/>
  <c r="S125"/>
  <c r="W125" s="1"/>
  <c r="X125" s="1"/>
  <c r="E125"/>
  <c r="U124"/>
  <c r="V124" s="1"/>
  <c r="T124"/>
  <c r="S124"/>
  <c r="W124" s="1"/>
  <c r="X124" s="1"/>
  <c r="R124"/>
  <c r="P124"/>
  <c r="N124"/>
  <c r="L124"/>
  <c r="L119" s="1"/>
  <c r="K124"/>
  <c r="J124"/>
  <c r="J119" s="1"/>
  <c r="H124"/>
  <c r="H119" s="1"/>
  <c r="G124"/>
  <c r="F124"/>
  <c r="E124"/>
  <c r="U123"/>
  <c r="V123" s="1"/>
  <c r="T123"/>
  <c r="S123"/>
  <c r="W123" s="1"/>
  <c r="X123" s="1"/>
  <c r="E123"/>
  <c r="T122"/>
  <c r="S122"/>
  <c r="W122" s="1"/>
  <c r="X122" s="1"/>
  <c r="E122"/>
  <c r="S121"/>
  <c r="E121"/>
  <c r="E119" s="1"/>
  <c r="V120"/>
  <c r="U120"/>
  <c r="T120"/>
  <c r="S120"/>
  <c r="W120" s="1"/>
  <c r="X120" s="1"/>
  <c r="P120"/>
  <c r="P119" s="1"/>
  <c r="O120"/>
  <c r="M120"/>
  <c r="L120"/>
  <c r="K120"/>
  <c r="K119" s="1"/>
  <c r="J120"/>
  <c r="I120"/>
  <c r="H120"/>
  <c r="G120"/>
  <c r="F120"/>
  <c r="E120"/>
  <c r="R119"/>
  <c r="O119"/>
  <c r="N119"/>
  <c r="M119"/>
  <c r="G119"/>
  <c r="F119"/>
  <c r="D119"/>
  <c r="T117"/>
  <c r="S117"/>
  <c r="W117" s="1"/>
  <c r="X117" s="1"/>
  <c r="M117"/>
  <c r="E117"/>
  <c r="X116"/>
  <c r="T116"/>
  <c r="S116"/>
  <c r="W116" s="1"/>
  <c r="E116"/>
  <c r="W115"/>
  <c r="X115" s="1"/>
  <c r="S115"/>
  <c r="E115"/>
  <c r="R114"/>
  <c r="R109" s="1"/>
  <c r="Q114"/>
  <c r="E114"/>
  <c r="S113"/>
  <c r="W113" s="1"/>
  <c r="X113" s="1"/>
  <c r="E113"/>
  <c r="V112"/>
  <c r="U112"/>
  <c r="T112"/>
  <c r="S112"/>
  <c r="W112" s="1"/>
  <c r="X112" s="1"/>
  <c r="E112"/>
  <c r="U111"/>
  <c r="V111" s="1"/>
  <c r="T111"/>
  <c r="S111"/>
  <c r="W111" s="1"/>
  <c r="X111" s="1"/>
  <c r="I111"/>
  <c r="G111"/>
  <c r="G109" s="1"/>
  <c r="E111"/>
  <c r="S110"/>
  <c r="E110"/>
  <c r="D110"/>
  <c r="T110" s="1"/>
  <c r="Q109"/>
  <c r="P109"/>
  <c r="O109"/>
  <c r="N109"/>
  <c r="M109"/>
  <c r="L109"/>
  <c r="K109"/>
  <c r="J109"/>
  <c r="I109"/>
  <c r="H109"/>
  <c r="F109"/>
  <c r="W108"/>
  <c r="X108" s="1"/>
  <c r="S108"/>
  <c r="E108"/>
  <c r="V107"/>
  <c r="U107"/>
  <c r="T107"/>
  <c r="S107"/>
  <c r="W107" s="1"/>
  <c r="X107" s="1"/>
  <c r="O107"/>
  <c r="O104" s="1"/>
  <c r="E107"/>
  <c r="V106"/>
  <c r="U106"/>
  <c r="T106"/>
  <c r="S106"/>
  <c r="W106" s="1"/>
  <c r="E106"/>
  <c r="E104" s="1"/>
  <c r="U105"/>
  <c r="V105" s="1"/>
  <c r="T105"/>
  <c r="S105"/>
  <c r="W105" s="1"/>
  <c r="X105" s="1"/>
  <c r="E105"/>
  <c r="R104"/>
  <c r="Q104"/>
  <c r="P104"/>
  <c r="N104"/>
  <c r="M104"/>
  <c r="L104"/>
  <c r="K104"/>
  <c r="J104"/>
  <c r="I104"/>
  <c r="H104"/>
  <c r="G104"/>
  <c r="F104"/>
  <c r="D104"/>
  <c r="U103"/>
  <c r="V103" s="1"/>
  <c r="T103"/>
  <c r="S103"/>
  <c r="W103" s="1"/>
  <c r="X103" s="1"/>
  <c r="E103"/>
  <c r="T102"/>
  <c r="S102"/>
  <c r="W102" s="1"/>
  <c r="X102" s="1"/>
  <c r="E102"/>
  <c r="S101"/>
  <c r="R101"/>
  <c r="Q101"/>
  <c r="P101"/>
  <c r="O101"/>
  <c r="N101"/>
  <c r="M101"/>
  <c r="L101"/>
  <c r="K101"/>
  <c r="J101"/>
  <c r="I101"/>
  <c r="H101"/>
  <c r="G101"/>
  <c r="F101"/>
  <c r="E101"/>
  <c r="D101"/>
  <c r="X100"/>
  <c r="T100"/>
  <c r="S100"/>
  <c r="W100" s="1"/>
  <c r="E100"/>
  <c r="W99"/>
  <c r="X99" s="1"/>
  <c r="S99"/>
  <c r="E99"/>
  <c r="V98"/>
  <c r="U98"/>
  <c r="T98"/>
  <c r="S98"/>
  <c r="W98" s="1"/>
  <c r="X98" s="1"/>
  <c r="E98"/>
  <c r="E96" s="1"/>
  <c r="U97"/>
  <c r="V97" s="1"/>
  <c r="T97"/>
  <c r="S97"/>
  <c r="W97" s="1"/>
  <c r="E97"/>
  <c r="R96"/>
  <c r="Q96"/>
  <c r="P96"/>
  <c r="O96"/>
  <c r="N96"/>
  <c r="M96"/>
  <c r="L96"/>
  <c r="K96"/>
  <c r="J96"/>
  <c r="I96"/>
  <c r="H96"/>
  <c r="G96"/>
  <c r="F96"/>
  <c r="D96"/>
  <c r="U95"/>
  <c r="V95" s="1"/>
  <c r="T95"/>
  <c r="S95"/>
  <c r="W95" s="1"/>
  <c r="X95" s="1"/>
  <c r="E95"/>
  <c r="X94"/>
  <c r="W94"/>
  <c r="T94"/>
  <c r="S94"/>
  <c r="E94"/>
  <c r="E91" s="1"/>
  <c r="U93"/>
  <c r="V93" s="1"/>
  <c r="T93"/>
  <c r="S93"/>
  <c r="W93" s="1"/>
  <c r="X93" s="1"/>
  <c r="E93"/>
  <c r="X92"/>
  <c r="T92"/>
  <c r="S92"/>
  <c r="W92" s="1"/>
  <c r="O92"/>
  <c r="M92"/>
  <c r="L92"/>
  <c r="L91" s="1"/>
  <c r="J92"/>
  <c r="J91" s="1"/>
  <c r="I92"/>
  <c r="I91" s="1"/>
  <c r="E92"/>
  <c r="S91"/>
  <c r="R91"/>
  <c r="Q91"/>
  <c r="P91"/>
  <c r="O91"/>
  <c r="N91"/>
  <c r="M91"/>
  <c r="K91"/>
  <c r="H91"/>
  <c r="G91"/>
  <c r="F91"/>
  <c r="D91"/>
  <c r="U91" s="1"/>
  <c r="V91" s="1"/>
  <c r="U85"/>
  <c r="V85" s="1"/>
  <c r="T85"/>
  <c r="S85"/>
  <c r="W84"/>
  <c r="X84" s="1"/>
  <c r="S84"/>
  <c r="E84"/>
  <c r="V83"/>
  <c r="U83"/>
  <c r="T83"/>
  <c r="S83"/>
  <c r="W83" s="1"/>
  <c r="X83" s="1"/>
  <c r="E83"/>
  <c r="S82"/>
  <c r="E82"/>
  <c r="E80" s="1"/>
  <c r="R81"/>
  <c r="R80" s="1"/>
  <c r="Q81"/>
  <c r="Q80" s="1"/>
  <c r="E81"/>
  <c r="P80"/>
  <c r="O80"/>
  <c r="N80"/>
  <c r="M80"/>
  <c r="L80"/>
  <c r="K80"/>
  <c r="J80"/>
  <c r="I80"/>
  <c r="H80"/>
  <c r="G80"/>
  <c r="F80"/>
  <c r="D80"/>
  <c r="X78"/>
  <c r="T78"/>
  <c r="S78"/>
  <c r="W78" s="1"/>
  <c r="E78"/>
  <c r="W77"/>
  <c r="X77" s="1"/>
  <c r="T77"/>
  <c r="S77"/>
  <c r="E77"/>
  <c r="X76"/>
  <c r="W76"/>
  <c r="T76"/>
  <c r="S76"/>
  <c r="E76"/>
  <c r="S75"/>
  <c r="S74"/>
  <c r="E74"/>
  <c r="V73"/>
  <c r="U73"/>
  <c r="T73"/>
  <c r="S73"/>
  <c r="W73" s="1"/>
  <c r="X73" s="1"/>
  <c r="E73"/>
  <c r="U72"/>
  <c r="V72" s="1"/>
  <c r="T72"/>
  <c r="S72"/>
  <c r="W72" s="1"/>
  <c r="X72" s="1"/>
  <c r="E72"/>
  <c r="S71"/>
  <c r="U70"/>
  <c r="V70" s="1"/>
  <c r="T70"/>
  <c r="S70"/>
  <c r="W70" s="1"/>
  <c r="X70" s="1"/>
  <c r="N70"/>
  <c r="E70"/>
  <c r="S69"/>
  <c r="Q69"/>
  <c r="R67"/>
  <c r="Q67"/>
  <c r="P67"/>
  <c r="O67"/>
  <c r="N67"/>
  <c r="M67"/>
  <c r="L67"/>
  <c r="K67"/>
  <c r="J67"/>
  <c r="I67"/>
  <c r="H67"/>
  <c r="G67"/>
  <c r="F67"/>
  <c r="D67"/>
  <c r="W66"/>
  <c r="X66" s="1"/>
  <c r="S66"/>
  <c r="E66"/>
  <c r="T65"/>
  <c r="S65"/>
  <c r="W65" s="1"/>
  <c r="X65" s="1"/>
  <c r="E65"/>
  <c r="W64"/>
  <c r="X64" s="1"/>
  <c r="S64"/>
  <c r="R64"/>
  <c r="R58" s="1"/>
  <c r="Q64"/>
  <c r="E64"/>
  <c r="T63"/>
  <c r="S63"/>
  <c r="E63"/>
  <c r="S62"/>
  <c r="W62" s="1"/>
  <c r="X62" s="1"/>
  <c r="E62"/>
  <c r="U61"/>
  <c r="V61" s="1"/>
  <c r="S61"/>
  <c r="W61" s="1"/>
  <c r="X61" s="1"/>
  <c r="S60"/>
  <c r="E60"/>
  <c r="V59"/>
  <c r="U59"/>
  <c r="S59"/>
  <c r="T59" s="1"/>
  <c r="E59"/>
  <c r="Q58"/>
  <c r="P58"/>
  <c r="O58"/>
  <c r="N58"/>
  <c r="M58"/>
  <c r="L58"/>
  <c r="K58"/>
  <c r="J58"/>
  <c r="I58"/>
  <c r="H58"/>
  <c r="G58"/>
  <c r="F58"/>
  <c r="E58"/>
  <c r="D58"/>
  <c r="U57"/>
  <c r="V57" s="1"/>
  <c r="S57"/>
  <c r="T57" s="1"/>
  <c r="S56"/>
  <c r="R56"/>
  <c r="Q56"/>
  <c r="P56"/>
  <c r="O56"/>
  <c r="N56"/>
  <c r="M56"/>
  <c r="L56"/>
  <c r="K56"/>
  <c r="J56"/>
  <c r="I56"/>
  <c r="H56"/>
  <c r="G56"/>
  <c r="F56"/>
  <c r="E56"/>
  <c r="D56"/>
  <c r="U56" s="1"/>
  <c r="V56" s="1"/>
  <c r="U55"/>
  <c r="V55" s="1"/>
  <c r="T55"/>
  <c r="S55"/>
  <c r="W55" s="1"/>
  <c r="X55" s="1"/>
  <c r="E55"/>
  <c r="T54"/>
  <c r="S54"/>
  <c r="U54" s="1"/>
  <c r="V54" s="1"/>
  <c r="E54"/>
  <c r="R53"/>
  <c r="Q53"/>
  <c r="P53"/>
  <c r="O53"/>
  <c r="N53"/>
  <c r="M53"/>
  <c r="L53"/>
  <c r="K53"/>
  <c r="J53"/>
  <c r="I53"/>
  <c r="H53"/>
  <c r="G53"/>
  <c r="F53"/>
  <c r="E53"/>
  <c r="D53"/>
  <c r="S52"/>
  <c r="S51"/>
  <c r="U50"/>
  <c r="V50" s="1"/>
  <c r="S50"/>
  <c r="T50" s="1"/>
  <c r="N50"/>
  <c r="N48" s="1"/>
  <c r="E50"/>
  <c r="V49"/>
  <c r="U49"/>
  <c r="S49"/>
  <c r="T49" s="1"/>
  <c r="E49"/>
  <c r="R48"/>
  <c r="Q48"/>
  <c r="P48"/>
  <c r="O48"/>
  <c r="M48"/>
  <c r="L48"/>
  <c r="K48"/>
  <c r="J48"/>
  <c r="I48"/>
  <c r="H48"/>
  <c r="G48"/>
  <c r="F48"/>
  <c r="E48"/>
  <c r="D48"/>
  <c r="V47"/>
  <c r="U47"/>
  <c r="S47"/>
  <c r="T47" s="1"/>
  <c r="E47"/>
  <c r="S46"/>
  <c r="D46"/>
  <c r="S45"/>
  <c r="R45"/>
  <c r="Q45"/>
  <c r="P45"/>
  <c r="O45"/>
  <c r="N45"/>
  <c r="M45"/>
  <c r="L45"/>
  <c r="K45"/>
  <c r="J45"/>
  <c r="I45"/>
  <c r="H45"/>
  <c r="G45"/>
  <c r="F45"/>
  <c r="D45"/>
  <c r="U45" s="1"/>
  <c r="V45" s="1"/>
  <c r="V44"/>
  <c r="U44"/>
  <c r="S44"/>
  <c r="T44" s="1"/>
  <c r="E44"/>
  <c r="E42" s="1"/>
  <c r="U43"/>
  <c r="V43" s="1"/>
  <c r="T43"/>
  <c r="S43"/>
  <c r="W43" s="1"/>
  <c r="E43"/>
  <c r="T42"/>
  <c r="S42"/>
  <c r="R42"/>
  <c r="Q42"/>
  <c r="P42"/>
  <c r="O42"/>
  <c r="N42"/>
  <c r="M42"/>
  <c r="L42"/>
  <c r="K42"/>
  <c r="J42"/>
  <c r="I42"/>
  <c r="H42"/>
  <c r="G42"/>
  <c r="F42"/>
  <c r="D42"/>
  <c r="X41"/>
  <c r="U41"/>
  <c r="V41" s="1"/>
  <c r="T41"/>
  <c r="S41"/>
  <c r="W41" s="1"/>
  <c r="E41"/>
  <c r="S40"/>
  <c r="U40" s="1"/>
  <c r="V40" s="1"/>
  <c r="E40"/>
  <c r="S39"/>
  <c r="W38"/>
  <c r="X38" s="1"/>
  <c r="T38"/>
  <c r="S38"/>
  <c r="U38" s="1"/>
  <c r="V38" s="1"/>
  <c r="E38"/>
  <c r="W37"/>
  <c r="S37"/>
  <c r="E37"/>
  <c r="R35"/>
  <c r="Q35"/>
  <c r="P35"/>
  <c r="O35"/>
  <c r="N35"/>
  <c r="M35"/>
  <c r="L35"/>
  <c r="K35"/>
  <c r="J35"/>
  <c r="I35"/>
  <c r="H35"/>
  <c r="G35"/>
  <c r="F35"/>
  <c r="E35"/>
  <c r="D35"/>
  <c r="W34"/>
  <c r="X34" s="1"/>
  <c r="S34"/>
  <c r="E34"/>
  <c r="S33"/>
  <c r="E33"/>
  <c r="D33"/>
  <c r="W33" s="1"/>
  <c r="X33" s="1"/>
  <c r="V32"/>
  <c r="U32"/>
  <c r="S32"/>
  <c r="T32" s="1"/>
  <c r="E32"/>
  <c r="U30"/>
  <c r="V30" s="1"/>
  <c r="T30"/>
  <c r="S30"/>
  <c r="W30" s="1"/>
  <c r="X30" s="1"/>
  <c r="E30"/>
  <c r="W28"/>
  <c r="X28" s="1"/>
  <c r="S28"/>
  <c r="T28" s="1"/>
  <c r="E28"/>
  <c r="D28"/>
  <c r="T26"/>
  <c r="S26"/>
  <c r="W26" s="1"/>
  <c r="X26" s="1"/>
  <c r="E26"/>
  <c r="S25"/>
  <c r="W25" s="1"/>
  <c r="X25" s="1"/>
  <c r="E25"/>
  <c r="S24"/>
  <c r="T24" s="1"/>
  <c r="Q24"/>
  <c r="D24"/>
  <c r="U23"/>
  <c r="V23" s="1"/>
  <c r="T23"/>
  <c r="S23"/>
  <c r="W23" s="1"/>
  <c r="X23" s="1"/>
  <c r="E23"/>
  <c r="X21"/>
  <c r="W21"/>
  <c r="T21"/>
  <c r="S21"/>
  <c r="U21" s="1"/>
  <c r="V21" s="1"/>
  <c r="P21"/>
  <c r="O21"/>
  <c r="N21"/>
  <c r="M21"/>
  <c r="M16" s="1"/>
  <c r="L21"/>
  <c r="K21"/>
  <c r="J21"/>
  <c r="H21"/>
  <c r="H16" s="1"/>
  <c r="G21"/>
  <c r="F21"/>
  <c r="S20"/>
  <c r="T20" s="1"/>
  <c r="E20"/>
  <c r="D20"/>
  <c r="U19"/>
  <c r="V19" s="1"/>
  <c r="S19"/>
  <c r="T19" s="1"/>
  <c r="E19"/>
  <c r="U18"/>
  <c r="T18"/>
  <c r="Q18"/>
  <c r="S18" s="1"/>
  <c r="O18"/>
  <c r="E18"/>
  <c r="D18"/>
  <c r="W18" s="1"/>
  <c r="X18" s="1"/>
  <c r="Q16"/>
  <c r="P16"/>
  <c r="O16"/>
  <c r="N16"/>
  <c r="L16"/>
  <c r="K16"/>
  <c r="J16"/>
  <c r="I16"/>
  <c r="G16"/>
  <c r="F16"/>
  <c r="R15" i="1"/>
  <c r="R113"/>
  <c r="R118"/>
  <c r="R108"/>
  <c r="D27"/>
  <c r="R75"/>
  <c r="R74" s="1"/>
  <c r="R58"/>
  <c r="S154"/>
  <c r="S152"/>
  <c r="S151"/>
  <c r="S150"/>
  <c r="S149"/>
  <c r="S148"/>
  <c r="S147"/>
  <c r="S142"/>
  <c r="S135"/>
  <c r="S129"/>
  <c r="S128"/>
  <c r="S127"/>
  <c r="S126"/>
  <c r="S125"/>
  <c r="S122"/>
  <c r="S121"/>
  <c r="S120"/>
  <c r="S119"/>
  <c r="S117"/>
  <c r="S116"/>
  <c r="S115"/>
  <c r="S114"/>
  <c r="S111"/>
  <c r="S110"/>
  <c r="S109"/>
  <c r="S107"/>
  <c r="S106"/>
  <c r="S105"/>
  <c r="S104"/>
  <c r="S102"/>
  <c r="S101"/>
  <c r="S100"/>
  <c r="S99"/>
  <c r="S97"/>
  <c r="S96"/>
  <c r="S94"/>
  <c r="S93"/>
  <c r="S92"/>
  <c r="S91"/>
  <c r="S89"/>
  <c r="S88"/>
  <c r="S87"/>
  <c r="S86"/>
  <c r="S78"/>
  <c r="S77"/>
  <c r="S76"/>
  <c r="S72"/>
  <c r="S71"/>
  <c r="S70"/>
  <c r="S69"/>
  <c r="S68"/>
  <c r="S67"/>
  <c r="S66"/>
  <c r="S65"/>
  <c r="S64"/>
  <c r="S60"/>
  <c r="S59"/>
  <c r="S57"/>
  <c r="S56"/>
  <c r="S55"/>
  <c r="S54"/>
  <c r="S53"/>
  <c r="S51"/>
  <c r="S49"/>
  <c r="S48"/>
  <c r="S46"/>
  <c r="S45"/>
  <c r="S44"/>
  <c r="S43"/>
  <c r="S41"/>
  <c r="S40"/>
  <c r="S38"/>
  <c r="S37"/>
  <c r="S35"/>
  <c r="S34"/>
  <c r="S33"/>
  <c r="S32"/>
  <c r="S31"/>
  <c r="S28"/>
  <c r="S27"/>
  <c r="S26"/>
  <c r="S25"/>
  <c r="S24"/>
  <c r="S23"/>
  <c r="S22"/>
  <c r="S20"/>
  <c r="S19"/>
  <c r="S18"/>
  <c r="S17"/>
  <c r="R153"/>
  <c r="R145"/>
  <c r="R141"/>
  <c r="R124"/>
  <c r="R98"/>
  <c r="R90"/>
  <c r="R85"/>
  <c r="R61"/>
  <c r="R50"/>
  <c r="R47"/>
  <c r="R42"/>
  <c r="R39"/>
  <c r="R36"/>
  <c r="R29"/>
  <c r="D42"/>
  <c r="J115" i="3" l="1"/>
  <c r="J160" s="1"/>
  <c r="W133"/>
  <c r="X133" s="1"/>
  <c r="S125"/>
  <c r="W125" s="1"/>
  <c r="X125" s="1"/>
  <c r="N15"/>
  <c r="N160" s="1"/>
  <c r="D42"/>
  <c r="U53"/>
  <c r="V53" s="1"/>
  <c r="D47"/>
  <c r="T51"/>
  <c r="T53"/>
  <c r="T68"/>
  <c r="T112"/>
  <c r="T130"/>
  <c r="T133"/>
  <c r="F115"/>
  <c r="F160" s="1"/>
  <c r="U133"/>
  <c r="V133" s="1"/>
  <c r="S59"/>
  <c r="U59" s="1"/>
  <c r="V59" s="1"/>
  <c r="U27"/>
  <c r="V27" s="1"/>
  <c r="R160"/>
  <c r="R162" s="1"/>
  <c r="D133"/>
  <c r="D127" s="1"/>
  <c r="C127"/>
  <c r="U134"/>
  <c r="V134" s="1"/>
  <c r="W130"/>
  <c r="X130" s="1"/>
  <c r="D125"/>
  <c r="D115" s="1"/>
  <c r="T101"/>
  <c r="W71"/>
  <c r="X71" s="1"/>
  <c r="T132"/>
  <c r="U56"/>
  <c r="V56" s="1"/>
  <c r="P15"/>
  <c r="U35"/>
  <c r="V35" s="1"/>
  <c r="U80"/>
  <c r="V80" s="1"/>
  <c r="T92"/>
  <c r="T154"/>
  <c r="T20"/>
  <c r="U37"/>
  <c r="V37" s="1"/>
  <c r="T72"/>
  <c r="T95"/>
  <c r="C99"/>
  <c r="E115"/>
  <c r="E160" s="1"/>
  <c r="S36"/>
  <c r="T36" s="1"/>
  <c r="T32"/>
  <c r="T34"/>
  <c r="U38"/>
  <c r="V38" s="1"/>
  <c r="T58"/>
  <c r="T60"/>
  <c r="U65"/>
  <c r="V65" s="1"/>
  <c r="T67"/>
  <c r="D96"/>
  <c r="T98"/>
  <c r="W101"/>
  <c r="X101" s="1"/>
  <c r="T102"/>
  <c r="U122"/>
  <c r="V122" s="1"/>
  <c r="S126"/>
  <c r="U126" s="1"/>
  <c r="V126" s="1"/>
  <c r="T161"/>
  <c r="D101"/>
  <c r="D99" s="1"/>
  <c r="W112"/>
  <c r="X112" s="1"/>
  <c r="D29"/>
  <c r="W24"/>
  <c r="X24" s="1"/>
  <c r="T35"/>
  <c r="T37"/>
  <c r="S39"/>
  <c r="U44"/>
  <c r="V44" s="1"/>
  <c r="P62"/>
  <c r="T73"/>
  <c r="T78"/>
  <c r="T87"/>
  <c r="U90"/>
  <c r="V90" s="1"/>
  <c r="T93"/>
  <c r="T111"/>
  <c r="T113"/>
  <c r="T118"/>
  <c r="I115"/>
  <c r="I160" s="1"/>
  <c r="T122"/>
  <c r="T164"/>
  <c r="K115"/>
  <c r="K160" s="1"/>
  <c r="S16"/>
  <c r="T16" s="1"/>
  <c r="T23"/>
  <c r="D27"/>
  <c r="U41"/>
  <c r="V41" s="1"/>
  <c r="S42"/>
  <c r="T42" s="1"/>
  <c r="U43"/>
  <c r="V43" s="1"/>
  <c r="D52"/>
  <c r="U55"/>
  <c r="V55" s="1"/>
  <c r="U67"/>
  <c r="V67" s="1"/>
  <c r="U68"/>
  <c r="V68" s="1"/>
  <c r="T90"/>
  <c r="T97"/>
  <c r="U98"/>
  <c r="V98" s="1"/>
  <c r="T100"/>
  <c r="U102"/>
  <c r="V102" s="1"/>
  <c r="T116"/>
  <c r="T119"/>
  <c r="T131"/>
  <c r="U161"/>
  <c r="V161" s="1"/>
  <c r="S47"/>
  <c r="T47" s="1"/>
  <c r="D86"/>
  <c r="D104"/>
  <c r="T24"/>
  <c r="U25"/>
  <c r="V25" s="1"/>
  <c r="T48"/>
  <c r="U49"/>
  <c r="V49" s="1"/>
  <c r="S50"/>
  <c r="U50" s="1"/>
  <c r="V50" s="1"/>
  <c r="T65"/>
  <c r="U88"/>
  <c r="V88" s="1"/>
  <c r="W89"/>
  <c r="X89" s="1"/>
  <c r="D91"/>
  <c r="T105"/>
  <c r="U106"/>
  <c r="V106" s="1"/>
  <c r="U107"/>
  <c r="V107" s="1"/>
  <c r="U120"/>
  <c r="V120" s="1"/>
  <c r="U121"/>
  <c r="V121" s="1"/>
  <c r="T138"/>
  <c r="W138" s="1"/>
  <c r="X138" s="1"/>
  <c r="S139"/>
  <c r="T139" s="1"/>
  <c r="U152"/>
  <c r="V152" s="1"/>
  <c r="C15"/>
  <c r="D137"/>
  <c r="D16"/>
  <c r="U17"/>
  <c r="V17" s="1"/>
  <c r="T19"/>
  <c r="U20"/>
  <c r="V20" s="1"/>
  <c r="D24"/>
  <c r="T25"/>
  <c r="U26"/>
  <c r="V26" s="1"/>
  <c r="T27"/>
  <c r="D36"/>
  <c r="T49"/>
  <c r="U51"/>
  <c r="V51" s="1"/>
  <c r="U78"/>
  <c r="V78" s="1"/>
  <c r="S86"/>
  <c r="T86" s="1"/>
  <c r="T88"/>
  <c r="U92"/>
  <c r="V92" s="1"/>
  <c r="U93"/>
  <c r="V93" s="1"/>
  <c r="S96"/>
  <c r="T96" s="1"/>
  <c r="U100"/>
  <c r="V100" s="1"/>
  <c r="U101"/>
  <c r="V101" s="1"/>
  <c r="T106"/>
  <c r="T107"/>
  <c r="U116"/>
  <c r="V116" s="1"/>
  <c r="U119"/>
  <c r="V119" s="1"/>
  <c r="G115"/>
  <c r="G160" s="1"/>
  <c r="T120"/>
  <c r="T121"/>
  <c r="H115"/>
  <c r="H160" s="1"/>
  <c r="T129"/>
  <c r="U131"/>
  <c r="V131" s="1"/>
  <c r="U132"/>
  <c r="V132" s="1"/>
  <c r="T148"/>
  <c r="W148" s="1"/>
  <c r="X148" s="1"/>
  <c r="T152"/>
  <c r="D150"/>
  <c r="T156"/>
  <c r="U164"/>
  <c r="V164" s="1"/>
  <c r="X31"/>
  <c r="X37"/>
  <c r="X53"/>
  <c r="W52"/>
  <c r="X52" s="1"/>
  <c r="W64"/>
  <c r="T64"/>
  <c r="S62"/>
  <c r="U31"/>
  <c r="T31"/>
  <c r="S29"/>
  <c r="T29" s="1"/>
  <c r="W40"/>
  <c r="T40"/>
  <c r="C39"/>
  <c r="D40"/>
  <c r="D39" s="1"/>
  <c r="U57"/>
  <c r="V57" s="1"/>
  <c r="T57"/>
  <c r="W77"/>
  <c r="X77" s="1"/>
  <c r="T77"/>
  <c r="U108"/>
  <c r="V108" s="1"/>
  <c r="T108"/>
  <c r="U117"/>
  <c r="V117" s="1"/>
  <c r="T117"/>
  <c r="U22"/>
  <c r="V22" s="1"/>
  <c r="T22"/>
  <c r="U61"/>
  <c r="V61" s="1"/>
  <c r="T61"/>
  <c r="W70"/>
  <c r="X70" s="1"/>
  <c r="T70"/>
  <c r="U79"/>
  <c r="V79" s="1"/>
  <c r="T79"/>
  <c r="U94"/>
  <c r="V94" s="1"/>
  <c r="T94"/>
  <c r="S91"/>
  <c r="T91" s="1"/>
  <c r="U110"/>
  <c r="V110" s="1"/>
  <c r="T110"/>
  <c r="U123"/>
  <c r="V123" s="1"/>
  <c r="T123"/>
  <c r="Q160"/>
  <c r="Q162" s="1"/>
  <c r="M160"/>
  <c r="D75"/>
  <c r="S109"/>
  <c r="S104" s="1"/>
  <c r="L160"/>
  <c r="U28"/>
  <c r="V28" s="1"/>
  <c r="T28"/>
  <c r="X51"/>
  <c r="W50"/>
  <c r="X50" s="1"/>
  <c r="U103"/>
  <c r="V103" s="1"/>
  <c r="S99"/>
  <c r="T103"/>
  <c r="W21"/>
  <c r="X21" s="1"/>
  <c r="D21"/>
  <c r="U54"/>
  <c r="V54" s="1"/>
  <c r="T54"/>
  <c r="W69"/>
  <c r="X69" s="1"/>
  <c r="T69"/>
  <c r="X92"/>
  <c r="W91"/>
  <c r="X91" s="1"/>
  <c r="W28"/>
  <c r="X28" s="1"/>
  <c r="U40"/>
  <c r="V40" s="1"/>
  <c r="W47"/>
  <c r="X47" s="1"/>
  <c r="D62"/>
  <c r="W103"/>
  <c r="X103" s="1"/>
  <c r="O160"/>
  <c r="W124"/>
  <c r="X124" s="1"/>
  <c r="W128"/>
  <c r="W140"/>
  <c r="X140" s="1"/>
  <c r="W147"/>
  <c r="W19"/>
  <c r="X19" s="1"/>
  <c r="W32"/>
  <c r="X32" s="1"/>
  <c r="W73"/>
  <c r="X73" s="1"/>
  <c r="W87"/>
  <c r="W97"/>
  <c r="W111"/>
  <c r="X111" s="1"/>
  <c r="W113"/>
  <c r="X113" s="1"/>
  <c r="W129"/>
  <c r="X129" s="1"/>
  <c r="P137"/>
  <c r="U138"/>
  <c r="V138" s="1"/>
  <c r="W17"/>
  <c r="W26"/>
  <c r="X26" s="1"/>
  <c r="W27"/>
  <c r="X27" s="1"/>
  <c r="U34"/>
  <c r="V34" s="1"/>
  <c r="W38"/>
  <c r="X38" s="1"/>
  <c r="W41"/>
  <c r="X41" s="1"/>
  <c r="W43"/>
  <c r="W44"/>
  <c r="X44" s="1"/>
  <c r="U48"/>
  <c r="V48" s="1"/>
  <c r="U58"/>
  <c r="V58" s="1"/>
  <c r="S76"/>
  <c r="U95"/>
  <c r="V95" s="1"/>
  <c r="W105"/>
  <c r="U118"/>
  <c r="V118" s="1"/>
  <c r="T124"/>
  <c r="S127"/>
  <c r="T128"/>
  <c r="T134"/>
  <c r="T140"/>
  <c r="S146"/>
  <c r="T147"/>
  <c r="T149"/>
  <c r="W149" s="1"/>
  <c r="X149" s="1"/>
  <c r="S151"/>
  <c r="T157"/>
  <c r="W134"/>
  <c r="X134" s="1"/>
  <c r="U105"/>
  <c r="V105" s="1"/>
  <c r="C104"/>
  <c r="C137"/>
  <c r="W141" i="2"/>
  <c r="X141" s="1"/>
  <c r="E138"/>
  <c r="J164"/>
  <c r="J166" s="1"/>
  <c r="N164"/>
  <c r="N162" s="1"/>
  <c r="R164"/>
  <c r="R166" s="1"/>
  <c r="S16"/>
  <c r="J162"/>
  <c r="N166"/>
  <c r="U48"/>
  <c r="V48" s="1"/>
  <c r="U58"/>
  <c r="V58" s="1"/>
  <c r="U16"/>
  <c r="V16" s="1"/>
  <c r="V18"/>
  <c r="X37"/>
  <c r="W82"/>
  <c r="X82" s="1"/>
  <c r="T82"/>
  <c r="U121"/>
  <c r="V121" s="1"/>
  <c r="T121"/>
  <c r="F162"/>
  <c r="F166"/>
  <c r="W46"/>
  <c r="E46"/>
  <c r="E45" s="1"/>
  <c r="W63"/>
  <c r="X63" s="1"/>
  <c r="U63"/>
  <c r="V63" s="1"/>
  <c r="W75"/>
  <c r="X75" s="1"/>
  <c r="T75"/>
  <c r="U84"/>
  <c r="V84" s="1"/>
  <c r="T84"/>
  <c r="U128"/>
  <c r="V128" s="1"/>
  <c r="T128"/>
  <c r="U142"/>
  <c r="V142" s="1"/>
  <c r="T142"/>
  <c r="X149"/>
  <c r="W148"/>
  <c r="X148" s="1"/>
  <c r="U151"/>
  <c r="V151" s="1"/>
  <c r="T151"/>
  <c r="W151" s="1"/>
  <c r="X151" s="1"/>
  <c r="Q152"/>
  <c r="S153"/>
  <c r="W24"/>
  <c r="X24" s="1"/>
  <c r="E24"/>
  <c r="E16" s="1"/>
  <c r="W74"/>
  <c r="X74" s="1"/>
  <c r="T74"/>
  <c r="X106"/>
  <c r="W104"/>
  <c r="X104" s="1"/>
  <c r="X131"/>
  <c r="W130"/>
  <c r="X130" s="1"/>
  <c r="U149"/>
  <c r="V149" s="1"/>
  <c r="T149"/>
  <c r="S148"/>
  <c r="W161"/>
  <c r="X161" s="1"/>
  <c r="T161"/>
  <c r="U34"/>
  <c r="V34" s="1"/>
  <c r="T34"/>
  <c r="U64"/>
  <c r="V64" s="1"/>
  <c r="T64"/>
  <c r="W69"/>
  <c r="T69"/>
  <c r="S67"/>
  <c r="U108"/>
  <c r="V108" s="1"/>
  <c r="S104"/>
  <c r="T104" s="1"/>
  <c r="T108"/>
  <c r="U131"/>
  <c r="V131" s="1"/>
  <c r="T131"/>
  <c r="S130"/>
  <c r="U135"/>
  <c r="V135" s="1"/>
  <c r="T135"/>
  <c r="T45"/>
  <c r="T56"/>
  <c r="H164"/>
  <c r="X43"/>
  <c r="S114"/>
  <c r="G164"/>
  <c r="K164"/>
  <c r="P164"/>
  <c r="D16"/>
  <c r="W40"/>
  <c r="X40" s="1"/>
  <c r="E67"/>
  <c r="S119"/>
  <c r="W20"/>
  <c r="X20" s="1"/>
  <c r="T33"/>
  <c r="T40"/>
  <c r="U42"/>
  <c r="V42" s="1"/>
  <c r="T46"/>
  <c r="W54"/>
  <c r="W85"/>
  <c r="X85" s="1"/>
  <c r="T91"/>
  <c r="W91"/>
  <c r="X91" s="1"/>
  <c r="W101"/>
  <c r="X101" s="1"/>
  <c r="E109"/>
  <c r="W121"/>
  <c r="I164"/>
  <c r="M166"/>
  <c r="U60"/>
  <c r="V60" s="1"/>
  <c r="S58"/>
  <c r="T58" s="1"/>
  <c r="T60"/>
  <c r="U101"/>
  <c r="V101" s="1"/>
  <c r="T101"/>
  <c r="U113"/>
  <c r="V113" s="1"/>
  <c r="T113"/>
  <c r="U25"/>
  <c r="V25" s="1"/>
  <c r="T25"/>
  <c r="U62"/>
  <c r="V62" s="1"/>
  <c r="T62"/>
  <c r="U66"/>
  <c r="V66" s="1"/>
  <c r="T66"/>
  <c r="U99"/>
  <c r="V99" s="1"/>
  <c r="S96"/>
  <c r="T96" s="1"/>
  <c r="T99"/>
  <c r="U115"/>
  <c r="V115" s="1"/>
  <c r="T115"/>
  <c r="U127"/>
  <c r="V127" s="1"/>
  <c r="T127"/>
  <c r="U129"/>
  <c r="V129" s="1"/>
  <c r="T129"/>
  <c r="U37"/>
  <c r="T37"/>
  <c r="S35"/>
  <c r="T35" s="1"/>
  <c r="X97"/>
  <c r="W96"/>
  <c r="X96" s="1"/>
  <c r="S140"/>
  <c r="Q138"/>
  <c r="Q164" s="1"/>
  <c r="Q166" s="1"/>
  <c r="S53"/>
  <c r="T53" s="1"/>
  <c r="U33"/>
  <c r="V33" s="1"/>
  <c r="U46"/>
  <c r="V46" s="1"/>
  <c r="W60"/>
  <c r="X60" s="1"/>
  <c r="O164"/>
  <c r="L164"/>
  <c r="W19"/>
  <c r="X19" s="1"/>
  <c r="W32"/>
  <c r="X32" s="1"/>
  <c r="W44"/>
  <c r="X44" s="1"/>
  <c r="W47"/>
  <c r="X47" s="1"/>
  <c r="W49"/>
  <c r="W50"/>
  <c r="X50" s="1"/>
  <c r="W57"/>
  <c r="W59"/>
  <c r="U78"/>
  <c r="V78" s="1"/>
  <c r="S81"/>
  <c r="U92"/>
  <c r="V92" s="1"/>
  <c r="U100"/>
  <c r="V100" s="1"/>
  <c r="U102"/>
  <c r="V102" s="1"/>
  <c r="W110"/>
  <c r="U116"/>
  <c r="V116" s="1"/>
  <c r="U117"/>
  <c r="V117" s="1"/>
  <c r="U122"/>
  <c r="V122" s="1"/>
  <c r="U132"/>
  <c r="V132" s="1"/>
  <c r="U110"/>
  <c r="V110" s="1"/>
  <c r="U139"/>
  <c r="V139" s="1"/>
  <c r="S48"/>
  <c r="T48" s="1"/>
  <c r="D109"/>
  <c r="D138"/>
  <c r="D29" i="1"/>
  <c r="D47"/>
  <c r="D50"/>
  <c r="D52"/>
  <c r="D61"/>
  <c r="D90"/>
  <c r="D95"/>
  <c r="D98"/>
  <c r="D113"/>
  <c r="D124"/>
  <c r="D141"/>
  <c r="D145"/>
  <c r="P160" i="3" l="1"/>
  <c r="P162" s="1"/>
  <c r="S15"/>
  <c r="W59"/>
  <c r="X59" s="1"/>
  <c r="W139"/>
  <c r="X139" s="1"/>
  <c r="U125"/>
  <c r="V125" s="1"/>
  <c r="T125"/>
  <c r="S52"/>
  <c r="U52" s="1"/>
  <c r="V52" s="1"/>
  <c r="T59"/>
  <c r="U36"/>
  <c r="V36" s="1"/>
  <c r="U96"/>
  <c r="V96" s="1"/>
  <c r="W80"/>
  <c r="X80" s="1"/>
  <c r="T126"/>
  <c r="T15"/>
  <c r="D15"/>
  <c r="D160" s="1"/>
  <c r="D162" s="1"/>
  <c r="D158" s="1"/>
  <c r="U42"/>
  <c r="V42" s="1"/>
  <c r="S115"/>
  <c r="T115" s="1"/>
  <c r="T99"/>
  <c r="W126"/>
  <c r="X126" s="1"/>
  <c r="S137"/>
  <c r="T137" s="1"/>
  <c r="U86"/>
  <c r="V86" s="1"/>
  <c r="T104"/>
  <c r="U47"/>
  <c r="V47" s="1"/>
  <c r="T50"/>
  <c r="W16"/>
  <c r="X16" s="1"/>
  <c r="U16"/>
  <c r="V16" s="1"/>
  <c r="W99"/>
  <c r="X99" s="1"/>
  <c r="U137"/>
  <c r="V137" s="1"/>
  <c r="U91"/>
  <c r="V91" s="1"/>
  <c r="W29"/>
  <c r="X29" s="1"/>
  <c r="X17"/>
  <c r="T146"/>
  <c r="U146"/>
  <c r="V146" s="1"/>
  <c r="T127"/>
  <c r="U127"/>
  <c r="V127" s="1"/>
  <c r="X105"/>
  <c r="W86"/>
  <c r="X86" s="1"/>
  <c r="X87"/>
  <c r="F162"/>
  <c r="F158"/>
  <c r="L158"/>
  <c r="L162"/>
  <c r="T109"/>
  <c r="W109"/>
  <c r="X109" s="1"/>
  <c r="U109"/>
  <c r="V109" s="1"/>
  <c r="M162"/>
  <c r="M158" s="1"/>
  <c r="T39"/>
  <c r="U39"/>
  <c r="V39" s="1"/>
  <c r="X64"/>
  <c r="W62"/>
  <c r="X62" s="1"/>
  <c r="T76"/>
  <c r="W76"/>
  <c r="U76"/>
  <c r="V76" s="1"/>
  <c r="S75"/>
  <c r="X43"/>
  <c r="W42"/>
  <c r="X42" s="1"/>
  <c r="X97"/>
  <c r="W96"/>
  <c r="X96" s="1"/>
  <c r="X128"/>
  <c r="W127"/>
  <c r="X127" s="1"/>
  <c r="J162"/>
  <c r="J158"/>
  <c r="K158"/>
  <c r="K162"/>
  <c r="E158"/>
  <c r="E162"/>
  <c r="O162"/>
  <c r="O158"/>
  <c r="I158"/>
  <c r="I162"/>
  <c r="W39"/>
  <c r="X39" s="1"/>
  <c r="X40"/>
  <c r="T62"/>
  <c r="U62"/>
  <c r="V62" s="1"/>
  <c r="U104"/>
  <c r="V104" s="1"/>
  <c r="U99"/>
  <c r="V99" s="1"/>
  <c r="C160"/>
  <c r="T151"/>
  <c r="U151"/>
  <c r="V151" s="1"/>
  <c r="W151"/>
  <c r="S150"/>
  <c r="X147"/>
  <c r="W146"/>
  <c r="X146" s="1"/>
  <c r="G162"/>
  <c r="G158"/>
  <c r="H158"/>
  <c r="H162"/>
  <c r="H176" s="1"/>
  <c r="H177" s="1"/>
  <c r="N162"/>
  <c r="N158"/>
  <c r="V31"/>
  <c r="U29"/>
  <c r="V29" s="1"/>
  <c r="W36"/>
  <c r="X36" s="1"/>
  <c r="E164" i="2"/>
  <c r="T16"/>
  <c r="E166"/>
  <c r="E162" s="1"/>
  <c r="X110"/>
  <c r="O166"/>
  <c r="O162"/>
  <c r="I162"/>
  <c r="I166"/>
  <c r="I180" s="1"/>
  <c r="I181" s="1"/>
  <c r="K166"/>
  <c r="K162"/>
  <c r="X59"/>
  <c r="W58"/>
  <c r="X58" s="1"/>
  <c r="L166"/>
  <c r="L162"/>
  <c r="T140"/>
  <c r="S138"/>
  <c r="T138" s="1"/>
  <c r="W140"/>
  <c r="P166"/>
  <c r="P162"/>
  <c r="T130"/>
  <c r="U130"/>
  <c r="V130" s="1"/>
  <c r="X69"/>
  <c r="W67"/>
  <c r="X67" s="1"/>
  <c r="X49"/>
  <c r="W48"/>
  <c r="X48" s="1"/>
  <c r="X121"/>
  <c r="W119"/>
  <c r="X119" s="1"/>
  <c r="X54"/>
  <c r="W53"/>
  <c r="X53" s="1"/>
  <c r="T114"/>
  <c r="U114"/>
  <c r="V114" s="1"/>
  <c r="W114"/>
  <c r="X114" s="1"/>
  <c r="T148"/>
  <c r="U148"/>
  <c r="V148" s="1"/>
  <c r="W45"/>
  <c r="X45" s="1"/>
  <c r="X46"/>
  <c r="T81"/>
  <c r="U81"/>
  <c r="V81" s="1"/>
  <c r="W81"/>
  <c r="S80"/>
  <c r="U119"/>
  <c r="V119" s="1"/>
  <c r="T119"/>
  <c r="G166"/>
  <c r="G162"/>
  <c r="H166"/>
  <c r="H162"/>
  <c r="T67"/>
  <c r="U67"/>
  <c r="V67" s="1"/>
  <c r="T153"/>
  <c r="U153"/>
  <c r="V153" s="1"/>
  <c r="W153"/>
  <c r="S152"/>
  <c r="U138"/>
  <c r="V138" s="1"/>
  <c r="U53"/>
  <c r="V53" s="1"/>
  <c r="U104"/>
  <c r="V104" s="1"/>
  <c r="W16"/>
  <c r="S164"/>
  <c r="S109"/>
  <c r="T109" s="1"/>
  <c r="D164"/>
  <c r="U96"/>
  <c r="V96" s="1"/>
  <c r="W35"/>
  <c r="X35" s="1"/>
  <c r="W42"/>
  <c r="X42" s="1"/>
  <c r="X57"/>
  <c r="W56"/>
  <c r="X56" s="1"/>
  <c r="U35"/>
  <c r="V35" s="1"/>
  <c r="V37"/>
  <c r="Q50" i="1"/>
  <c r="Q47"/>
  <c r="Q42"/>
  <c r="Q39"/>
  <c r="Q36"/>
  <c r="Q29"/>
  <c r="D16"/>
  <c r="Q153"/>
  <c r="Q146"/>
  <c r="R134"/>
  <c r="R132" s="1"/>
  <c r="R103"/>
  <c r="T99"/>
  <c r="W99"/>
  <c r="X99" s="1"/>
  <c r="E99"/>
  <c r="R52"/>
  <c r="W137" i="3" l="1"/>
  <c r="X137" s="1"/>
  <c r="U15"/>
  <c r="V15" s="1"/>
  <c r="T52"/>
  <c r="U115"/>
  <c r="V115" s="1"/>
  <c r="W115"/>
  <c r="X115" s="1"/>
  <c r="S160"/>
  <c r="T160" s="1"/>
  <c r="W15"/>
  <c r="X15" s="1"/>
  <c r="X76"/>
  <c r="W75"/>
  <c r="X75" s="1"/>
  <c r="X151"/>
  <c r="W150"/>
  <c r="X150" s="1"/>
  <c r="T150"/>
  <c r="U150"/>
  <c r="C162"/>
  <c r="C158" s="1"/>
  <c r="U75"/>
  <c r="V75" s="1"/>
  <c r="T75"/>
  <c r="W104"/>
  <c r="X104" s="1"/>
  <c r="Q145" i="1"/>
  <c r="S146"/>
  <c r="S166" i="2"/>
  <c r="S162" s="1"/>
  <c r="T164"/>
  <c r="X153"/>
  <c r="W152"/>
  <c r="X152" s="1"/>
  <c r="X81"/>
  <c r="W80"/>
  <c r="X80" s="1"/>
  <c r="D166"/>
  <c r="D162" s="1"/>
  <c r="T152"/>
  <c r="U152"/>
  <c r="T80"/>
  <c r="U80"/>
  <c r="V80" s="1"/>
  <c r="X16"/>
  <c r="X140"/>
  <c r="W138"/>
  <c r="X138" s="1"/>
  <c r="W109"/>
  <c r="X109" s="1"/>
  <c r="U109"/>
  <c r="V109" s="1"/>
  <c r="S118" i="1"/>
  <c r="U99"/>
  <c r="V99" s="1"/>
  <c r="S162" i="3" l="1"/>
  <c r="S158" s="1"/>
  <c r="T158" s="1"/>
  <c r="V150"/>
  <c r="U160"/>
  <c r="W160"/>
  <c r="U162" i="2"/>
  <c r="V162" s="1"/>
  <c r="U164"/>
  <c r="V152"/>
  <c r="W164"/>
  <c r="T162"/>
  <c r="T166"/>
  <c r="E23" i="1"/>
  <c r="T23"/>
  <c r="W23"/>
  <c r="X23" s="1"/>
  <c r="R95"/>
  <c r="R155" s="1"/>
  <c r="T162" i="3" l="1"/>
  <c r="U158"/>
  <c r="V158" s="1"/>
  <c r="W162"/>
  <c r="X162" s="1"/>
  <c r="X160"/>
  <c r="W158"/>
  <c r="X158" s="1"/>
  <c r="U162"/>
  <c r="V162" s="1"/>
  <c r="V160"/>
  <c r="W166" i="2"/>
  <c r="X166" s="1"/>
  <c r="X164"/>
  <c r="W162"/>
  <c r="X162" s="1"/>
  <c r="U166"/>
  <c r="V166" s="1"/>
  <c r="V164"/>
  <c r="R157" i="1"/>
  <c r="D74"/>
  <c r="Q75"/>
  <c r="S75" s="1"/>
  <c r="Q134"/>
  <c r="S134" s="1"/>
  <c r="W134" s="1"/>
  <c r="D104"/>
  <c r="D103" s="1"/>
  <c r="T76"/>
  <c r="W76"/>
  <c r="X76" s="1"/>
  <c r="D36"/>
  <c r="Q85"/>
  <c r="Q90"/>
  <c r="Q98"/>
  <c r="Q124"/>
  <c r="Q21"/>
  <c r="S21" s="1"/>
  <c r="T21" s="1"/>
  <c r="Q123"/>
  <c r="S123" s="1"/>
  <c r="Q108"/>
  <c r="S108" s="1"/>
  <c r="S159"/>
  <c r="T159" s="1"/>
  <c r="K159"/>
  <c r="E159"/>
  <c r="E149"/>
  <c r="E151"/>
  <c r="E152"/>
  <c r="W70"/>
  <c r="X70" s="1"/>
  <c r="T71"/>
  <c r="W54"/>
  <c r="X54" s="1"/>
  <c r="W28"/>
  <c r="X28" s="1"/>
  <c r="E76"/>
  <c r="E71"/>
  <c r="Q63"/>
  <c r="W66"/>
  <c r="X66" s="1"/>
  <c r="T68"/>
  <c r="E68"/>
  <c r="S156"/>
  <c r="W156" s="1"/>
  <c r="X156" s="1"/>
  <c r="W147"/>
  <c r="X147" s="1"/>
  <c r="W149"/>
  <c r="X149" s="1"/>
  <c r="W151"/>
  <c r="X151" s="1"/>
  <c r="W152"/>
  <c r="X152" s="1"/>
  <c r="W135"/>
  <c r="X135" s="1"/>
  <c r="W126"/>
  <c r="X126" s="1"/>
  <c r="W127"/>
  <c r="X127" s="1"/>
  <c r="W128"/>
  <c r="X128" s="1"/>
  <c r="W129"/>
  <c r="X129" s="1"/>
  <c r="W115"/>
  <c r="X115" s="1"/>
  <c r="W116"/>
  <c r="X116" s="1"/>
  <c r="W117"/>
  <c r="X117" s="1"/>
  <c r="W118"/>
  <c r="X118" s="1"/>
  <c r="W119"/>
  <c r="X119" s="1"/>
  <c r="W120"/>
  <c r="W121"/>
  <c r="X121" s="1"/>
  <c r="W122"/>
  <c r="X122" s="1"/>
  <c r="W123"/>
  <c r="X123" s="1"/>
  <c r="W105"/>
  <c r="X105" s="1"/>
  <c r="W106"/>
  <c r="X106" s="1"/>
  <c r="W107"/>
  <c r="X107" s="1"/>
  <c r="W108"/>
  <c r="W109"/>
  <c r="X109" s="1"/>
  <c r="W110"/>
  <c r="X110" s="1"/>
  <c r="W111"/>
  <c r="X111" s="1"/>
  <c r="W101"/>
  <c r="X101" s="1"/>
  <c r="W102"/>
  <c r="X102" s="1"/>
  <c r="W97"/>
  <c r="X97" s="1"/>
  <c r="W96"/>
  <c r="X96" s="1"/>
  <c r="W92"/>
  <c r="X92" s="1"/>
  <c r="W93"/>
  <c r="X93" s="1"/>
  <c r="W94"/>
  <c r="X94" s="1"/>
  <c r="W91"/>
  <c r="X91" s="1"/>
  <c r="W88"/>
  <c r="X88" s="1"/>
  <c r="W89"/>
  <c r="X89" s="1"/>
  <c r="W78"/>
  <c r="X78" s="1"/>
  <c r="W77"/>
  <c r="X77" s="1"/>
  <c r="W60"/>
  <c r="X60" s="1"/>
  <c r="W59"/>
  <c r="X59" s="1"/>
  <c r="W57"/>
  <c r="X57" s="1"/>
  <c r="W56"/>
  <c r="X56" s="1"/>
  <c r="W55"/>
  <c r="X55" s="1"/>
  <c r="W53"/>
  <c r="X53" s="1"/>
  <c r="W49"/>
  <c r="X49" s="1"/>
  <c r="W32"/>
  <c r="X32" s="1"/>
  <c r="W34"/>
  <c r="X34" s="1"/>
  <c r="W35"/>
  <c r="X35" s="1"/>
  <c r="W17"/>
  <c r="X17" s="1"/>
  <c r="W19"/>
  <c r="X19" s="1"/>
  <c r="W20"/>
  <c r="X20" s="1"/>
  <c r="W22"/>
  <c r="X22" s="1"/>
  <c r="W25"/>
  <c r="X25" s="1"/>
  <c r="W26"/>
  <c r="X26" s="1"/>
  <c r="W64"/>
  <c r="W67"/>
  <c r="X67" s="1"/>
  <c r="W69"/>
  <c r="X69" s="1"/>
  <c r="W72"/>
  <c r="X72" s="1"/>
  <c r="Q58"/>
  <c r="D40"/>
  <c r="D39" s="1"/>
  <c r="E24"/>
  <c r="D24"/>
  <c r="T24" s="1"/>
  <c r="Q16"/>
  <c r="D21"/>
  <c r="E21" s="1"/>
  <c r="D18"/>
  <c r="T18" s="1"/>
  <c r="S141"/>
  <c r="Q141"/>
  <c r="Q95"/>
  <c r="Q103" l="1"/>
  <c r="S63"/>
  <c r="S61" s="1"/>
  <c r="Q61"/>
  <c r="E18"/>
  <c r="D15"/>
  <c r="S16"/>
  <c r="Q15"/>
  <c r="S15" s="1"/>
  <c r="S58"/>
  <c r="S52" s="1"/>
  <c r="Q52"/>
  <c r="W18"/>
  <c r="X18" s="1"/>
  <c r="W87"/>
  <c r="X87" s="1"/>
  <c r="D85"/>
  <c r="Q113"/>
  <c r="W75"/>
  <c r="X75" s="1"/>
  <c r="Q74"/>
  <c r="Q132"/>
  <c r="W159"/>
  <c r="X159" s="1"/>
  <c r="U159"/>
  <c r="V159" s="1"/>
  <c r="W24"/>
  <c r="X24" s="1"/>
  <c r="W132"/>
  <c r="X134"/>
  <c r="W142"/>
  <c r="X142" s="1"/>
  <c r="W21"/>
  <c r="X21" s="1"/>
  <c r="T149"/>
  <c r="W27"/>
  <c r="X27" s="1"/>
  <c r="X64"/>
  <c r="W68"/>
  <c r="X68" s="1"/>
  <c r="W71"/>
  <c r="X71" s="1"/>
  <c r="X120"/>
  <c r="X108"/>
  <c r="W95"/>
  <c r="W90"/>
  <c r="W52"/>
  <c r="S132"/>
  <c r="S95"/>
  <c r="T152"/>
  <c r="T151"/>
  <c r="T147"/>
  <c r="T142"/>
  <c r="T134"/>
  <c r="T129"/>
  <c r="T128"/>
  <c r="T127"/>
  <c r="T126"/>
  <c r="T120"/>
  <c r="T123"/>
  <c r="T118"/>
  <c r="T122"/>
  <c r="T121"/>
  <c r="T119"/>
  <c r="T117"/>
  <c r="T116"/>
  <c r="T115"/>
  <c r="T111"/>
  <c r="T108"/>
  <c r="T110"/>
  <c r="T109"/>
  <c r="T107"/>
  <c r="T106"/>
  <c r="T105"/>
  <c r="W104"/>
  <c r="X104" s="1"/>
  <c r="T102"/>
  <c r="T101"/>
  <c r="T97"/>
  <c r="T96"/>
  <c r="T93"/>
  <c r="T94"/>
  <c r="T91"/>
  <c r="T92"/>
  <c r="T88"/>
  <c r="T89"/>
  <c r="T87"/>
  <c r="S74"/>
  <c r="T78"/>
  <c r="T75"/>
  <c r="W86"/>
  <c r="T72"/>
  <c r="E72"/>
  <c r="T70"/>
  <c r="E70"/>
  <c r="T69"/>
  <c r="T67"/>
  <c r="T66"/>
  <c r="T64"/>
  <c r="T60"/>
  <c r="T59"/>
  <c r="T57"/>
  <c r="T56"/>
  <c r="T54"/>
  <c r="T53"/>
  <c r="T51"/>
  <c r="T49"/>
  <c r="T44"/>
  <c r="W44"/>
  <c r="X44" s="1"/>
  <c r="W43"/>
  <c r="X43" s="1"/>
  <c r="W40"/>
  <c r="W37"/>
  <c r="T35"/>
  <c r="T34"/>
  <c r="T32"/>
  <c r="Q155" l="1"/>
  <c r="Q157" s="1"/>
  <c r="W141"/>
  <c r="T58"/>
  <c r="T63"/>
  <c r="W63"/>
  <c r="W58"/>
  <c r="X58" s="1"/>
  <c r="W146"/>
  <c r="X146" s="1"/>
  <c r="S145"/>
  <c r="W74"/>
  <c r="X74" s="1"/>
  <c r="W103"/>
  <c r="X40"/>
  <c r="T31"/>
  <c r="W31"/>
  <c r="X37"/>
  <c r="T41"/>
  <c r="W41"/>
  <c r="X41" s="1"/>
  <c r="S47"/>
  <c r="W48"/>
  <c r="X86"/>
  <c r="W85"/>
  <c r="S98"/>
  <c r="W100"/>
  <c r="T114"/>
  <c r="W114"/>
  <c r="T38"/>
  <c r="W38"/>
  <c r="X38" s="1"/>
  <c r="S50"/>
  <c r="W51"/>
  <c r="S124"/>
  <c r="W125"/>
  <c r="W42"/>
  <c r="S36"/>
  <c r="S42"/>
  <c r="S39"/>
  <c r="U55"/>
  <c r="V55" s="1"/>
  <c r="S85"/>
  <c r="S103"/>
  <c r="S90"/>
  <c r="S29"/>
  <c r="T37"/>
  <c r="T40"/>
  <c r="T43"/>
  <c r="T48"/>
  <c r="T77"/>
  <c r="T86"/>
  <c r="T104"/>
  <c r="S113"/>
  <c r="T125"/>
  <c r="T146"/>
  <c r="T100"/>
  <c r="T26"/>
  <c r="W16"/>
  <c r="X16" s="1"/>
  <c r="E17"/>
  <c r="E20"/>
  <c r="E22"/>
  <c r="E25"/>
  <c r="E26"/>
  <c r="E27"/>
  <c r="E28"/>
  <c r="E64"/>
  <c r="E66"/>
  <c r="E67"/>
  <c r="E146"/>
  <c r="E147"/>
  <c r="E156"/>
  <c r="E142"/>
  <c r="E141" s="1"/>
  <c r="E135"/>
  <c r="E134"/>
  <c r="E129"/>
  <c r="E128"/>
  <c r="E127"/>
  <c r="E126"/>
  <c r="E125"/>
  <c r="E123"/>
  <c r="E122"/>
  <c r="E121"/>
  <c r="E120"/>
  <c r="E119"/>
  <c r="E118"/>
  <c r="E117"/>
  <c r="E116"/>
  <c r="E115"/>
  <c r="E114"/>
  <c r="E111"/>
  <c r="E110"/>
  <c r="E109"/>
  <c r="E108"/>
  <c r="E107"/>
  <c r="E106"/>
  <c r="E105"/>
  <c r="E104"/>
  <c r="E102"/>
  <c r="E101"/>
  <c r="E100"/>
  <c r="E97"/>
  <c r="E96"/>
  <c r="E94"/>
  <c r="E93"/>
  <c r="E92"/>
  <c r="E91"/>
  <c r="E86"/>
  <c r="E89"/>
  <c r="E88"/>
  <c r="E87"/>
  <c r="E78"/>
  <c r="E77"/>
  <c r="E75"/>
  <c r="E60"/>
  <c r="E59"/>
  <c r="E58"/>
  <c r="E57"/>
  <c r="E56"/>
  <c r="E54"/>
  <c r="E53"/>
  <c r="E49"/>
  <c r="E48"/>
  <c r="E44"/>
  <c r="E43"/>
  <c r="E41"/>
  <c r="E40"/>
  <c r="E38"/>
  <c r="E37"/>
  <c r="E35"/>
  <c r="E34"/>
  <c r="E32"/>
  <c r="E31"/>
  <c r="E16"/>
  <c r="E52" l="1"/>
  <c r="E145"/>
  <c r="W39"/>
  <c r="X63"/>
  <c r="W61"/>
  <c r="X61" s="1"/>
  <c r="S155"/>
  <c r="S157" s="1"/>
  <c r="S153" s="1"/>
  <c r="W145"/>
  <c r="X145" s="1"/>
  <c r="E74"/>
  <c r="X100"/>
  <c r="W98"/>
  <c r="X98" s="1"/>
  <c r="X48"/>
  <c r="W47"/>
  <c r="X51"/>
  <c r="W50"/>
  <c r="X114"/>
  <c r="W113"/>
  <c r="W29"/>
  <c r="X31"/>
  <c r="W15"/>
  <c r="X15" s="1"/>
  <c r="W36"/>
  <c r="X125"/>
  <c r="W124"/>
  <c r="T15"/>
  <c r="E15"/>
  <c r="E61"/>
  <c r="T16"/>
  <c r="T74"/>
  <c r="K156"/>
  <c r="U156" s="1"/>
  <c r="V156" s="1"/>
  <c r="N169"/>
  <c r="M169"/>
  <c r="L169"/>
  <c r="P168"/>
  <c r="T156"/>
  <c r="U147"/>
  <c r="V147" s="1"/>
  <c r="L147"/>
  <c r="L145" s="1"/>
  <c r="U146"/>
  <c r="V146" s="1"/>
  <c r="P145"/>
  <c r="O145"/>
  <c r="N145"/>
  <c r="M145"/>
  <c r="K145"/>
  <c r="J145"/>
  <c r="I145"/>
  <c r="H145"/>
  <c r="G145"/>
  <c r="F145"/>
  <c r="S144"/>
  <c r="T144" s="1"/>
  <c r="S143"/>
  <c r="U142"/>
  <c r="V142" s="1"/>
  <c r="P141"/>
  <c r="O141"/>
  <c r="N141"/>
  <c r="M141"/>
  <c r="L141"/>
  <c r="K141"/>
  <c r="J141"/>
  <c r="I141"/>
  <c r="H141"/>
  <c r="G141"/>
  <c r="F141"/>
  <c r="U135"/>
  <c r="V135" s="1"/>
  <c r="T135"/>
  <c r="P135"/>
  <c r="P132" s="1"/>
  <c r="O135"/>
  <c r="O132" s="1"/>
  <c r="N135"/>
  <c r="N132" s="1"/>
  <c r="J135"/>
  <c r="J132" s="1"/>
  <c r="H135"/>
  <c r="H132" s="1"/>
  <c r="X132" s="1"/>
  <c r="S133"/>
  <c r="D133"/>
  <c r="M132"/>
  <c r="L132"/>
  <c r="K132"/>
  <c r="I132"/>
  <c r="G132"/>
  <c r="F132"/>
  <c r="U129"/>
  <c r="V129" s="1"/>
  <c r="U128"/>
  <c r="V128" s="1"/>
  <c r="U127"/>
  <c r="V127" s="1"/>
  <c r="U126"/>
  <c r="V126" s="1"/>
  <c r="U125"/>
  <c r="V125" s="1"/>
  <c r="P124"/>
  <c r="O124"/>
  <c r="N124"/>
  <c r="M124"/>
  <c r="L124"/>
  <c r="K124"/>
  <c r="J124"/>
  <c r="I124"/>
  <c r="H124"/>
  <c r="G124"/>
  <c r="F124"/>
  <c r="E124"/>
  <c r="U124"/>
  <c r="V124" s="1"/>
  <c r="U123"/>
  <c r="V123" s="1"/>
  <c r="U122"/>
  <c r="V122" s="1"/>
  <c r="I122"/>
  <c r="U121"/>
  <c r="V121" s="1"/>
  <c r="U120"/>
  <c r="V120" s="1"/>
  <c r="I120"/>
  <c r="U119"/>
  <c r="V119" s="1"/>
  <c r="U118"/>
  <c r="V118" s="1"/>
  <c r="P118"/>
  <c r="N118"/>
  <c r="N113" s="1"/>
  <c r="L118"/>
  <c r="K118"/>
  <c r="J118"/>
  <c r="H118"/>
  <c r="G118"/>
  <c r="F118"/>
  <c r="U117"/>
  <c r="V117" s="1"/>
  <c r="U116"/>
  <c r="V116" s="1"/>
  <c r="U115"/>
  <c r="V115" s="1"/>
  <c r="U114"/>
  <c r="V114" s="1"/>
  <c r="P114"/>
  <c r="O114"/>
  <c r="O113" s="1"/>
  <c r="M114"/>
  <c r="M113" s="1"/>
  <c r="L114"/>
  <c r="K114"/>
  <c r="J114"/>
  <c r="I114"/>
  <c r="H114"/>
  <c r="G114"/>
  <c r="F114"/>
  <c r="E113"/>
  <c r="T113"/>
  <c r="U111"/>
  <c r="V111" s="1"/>
  <c r="M111"/>
  <c r="M103" s="1"/>
  <c r="U110"/>
  <c r="V110" s="1"/>
  <c r="U109"/>
  <c r="V109" s="1"/>
  <c r="U108"/>
  <c r="V108" s="1"/>
  <c r="U107"/>
  <c r="V107" s="1"/>
  <c r="U106"/>
  <c r="V106" s="1"/>
  <c r="U105"/>
  <c r="V105" s="1"/>
  <c r="I105"/>
  <c r="I103" s="1"/>
  <c r="G105"/>
  <c r="G103" s="1"/>
  <c r="U104"/>
  <c r="V104" s="1"/>
  <c r="P103"/>
  <c r="O103"/>
  <c r="N103"/>
  <c r="L103"/>
  <c r="K103"/>
  <c r="J103"/>
  <c r="H103"/>
  <c r="F103"/>
  <c r="E103"/>
  <c r="V102"/>
  <c r="U102"/>
  <c r="U101"/>
  <c r="V101" s="1"/>
  <c r="O101"/>
  <c r="O98" s="1"/>
  <c r="V100"/>
  <c r="U100"/>
  <c r="P98"/>
  <c r="N98"/>
  <c r="M98"/>
  <c r="L98"/>
  <c r="K98"/>
  <c r="J98"/>
  <c r="I98"/>
  <c r="H98"/>
  <c r="G98"/>
  <c r="F98"/>
  <c r="E98"/>
  <c r="T98"/>
  <c r="U97"/>
  <c r="V97" s="1"/>
  <c r="V96"/>
  <c r="U96"/>
  <c r="P95"/>
  <c r="O95"/>
  <c r="N95"/>
  <c r="M95"/>
  <c r="L95"/>
  <c r="K95"/>
  <c r="J95"/>
  <c r="I95"/>
  <c r="H95"/>
  <c r="G95"/>
  <c r="F95"/>
  <c r="E95"/>
  <c r="U94"/>
  <c r="V94" s="1"/>
  <c r="U93"/>
  <c r="V93" s="1"/>
  <c r="U92"/>
  <c r="V92" s="1"/>
  <c r="U91"/>
  <c r="V91" s="1"/>
  <c r="U90"/>
  <c r="V90" s="1"/>
  <c r="P90"/>
  <c r="O90"/>
  <c r="N90"/>
  <c r="M90"/>
  <c r="L90"/>
  <c r="K90"/>
  <c r="J90"/>
  <c r="I90"/>
  <c r="H90"/>
  <c r="G90"/>
  <c r="F90"/>
  <c r="E90"/>
  <c r="U89"/>
  <c r="V89" s="1"/>
  <c r="U87"/>
  <c r="V87" s="1"/>
  <c r="U86"/>
  <c r="V86" s="1"/>
  <c r="O86"/>
  <c r="O85" s="1"/>
  <c r="M86"/>
  <c r="M85" s="1"/>
  <c r="L86"/>
  <c r="L85" s="1"/>
  <c r="J86"/>
  <c r="J85" s="1"/>
  <c r="I86"/>
  <c r="I85" s="1"/>
  <c r="P85"/>
  <c r="N85"/>
  <c r="K85"/>
  <c r="H85"/>
  <c r="G85"/>
  <c r="F85"/>
  <c r="E85"/>
  <c r="U85"/>
  <c r="V85" s="1"/>
  <c r="S79"/>
  <c r="U78"/>
  <c r="V78" s="1"/>
  <c r="U77"/>
  <c r="V77" s="1"/>
  <c r="U75"/>
  <c r="V75" s="1"/>
  <c r="U74"/>
  <c r="V74" s="1"/>
  <c r="P74"/>
  <c r="O74"/>
  <c r="N74"/>
  <c r="M74"/>
  <c r="L74"/>
  <c r="K74"/>
  <c r="J74"/>
  <c r="I74"/>
  <c r="H74"/>
  <c r="G74"/>
  <c r="F74"/>
  <c r="U72"/>
  <c r="V72" s="1"/>
  <c r="U67"/>
  <c r="V67" s="1"/>
  <c r="U66"/>
  <c r="V66" s="1"/>
  <c r="U64"/>
  <c r="V64" s="1"/>
  <c r="N64"/>
  <c r="N61" s="1"/>
  <c r="U61"/>
  <c r="V61" s="1"/>
  <c r="T61"/>
  <c r="P61"/>
  <c r="O61"/>
  <c r="M61"/>
  <c r="L61"/>
  <c r="K61"/>
  <c r="J61"/>
  <c r="I61"/>
  <c r="H61"/>
  <c r="G61"/>
  <c r="F61"/>
  <c r="U60"/>
  <c r="V60" s="1"/>
  <c r="U58"/>
  <c r="V58" s="1"/>
  <c r="U57"/>
  <c r="V57" s="1"/>
  <c r="U56"/>
  <c r="V56" s="1"/>
  <c r="U54"/>
  <c r="V54" s="1"/>
  <c r="U53"/>
  <c r="V53" s="1"/>
  <c r="P52"/>
  <c r="O52"/>
  <c r="N52"/>
  <c r="M52"/>
  <c r="L52"/>
  <c r="K52"/>
  <c r="J52"/>
  <c r="I52"/>
  <c r="H52"/>
  <c r="G52"/>
  <c r="F52"/>
  <c r="V51"/>
  <c r="U51"/>
  <c r="P50"/>
  <c r="O50"/>
  <c r="N50"/>
  <c r="M50"/>
  <c r="L50"/>
  <c r="K50"/>
  <c r="J50"/>
  <c r="I50"/>
  <c r="H50"/>
  <c r="G50"/>
  <c r="F50"/>
  <c r="E50"/>
  <c r="U50"/>
  <c r="V50" s="1"/>
  <c r="U49"/>
  <c r="V49" s="1"/>
  <c r="U48"/>
  <c r="V48" s="1"/>
  <c r="P47"/>
  <c r="O47"/>
  <c r="N47"/>
  <c r="M47"/>
  <c r="L47"/>
  <c r="K47"/>
  <c r="J47"/>
  <c r="I47"/>
  <c r="H47"/>
  <c r="G47"/>
  <c r="F47"/>
  <c r="E47"/>
  <c r="T47"/>
  <c r="U44"/>
  <c r="V44" s="1"/>
  <c r="N44"/>
  <c r="U43"/>
  <c r="V43" s="1"/>
  <c r="P42"/>
  <c r="O42"/>
  <c r="N42"/>
  <c r="M42"/>
  <c r="L42"/>
  <c r="K42"/>
  <c r="J42"/>
  <c r="I42"/>
  <c r="H42"/>
  <c r="G42"/>
  <c r="F42"/>
  <c r="E42"/>
  <c r="T42"/>
  <c r="U41"/>
  <c r="V41" s="1"/>
  <c r="U40"/>
  <c r="V40" s="1"/>
  <c r="P39"/>
  <c r="O39"/>
  <c r="N39"/>
  <c r="M39"/>
  <c r="L39"/>
  <c r="K39"/>
  <c r="J39"/>
  <c r="I39"/>
  <c r="H39"/>
  <c r="G39"/>
  <c r="F39"/>
  <c r="E39"/>
  <c r="U39"/>
  <c r="V39" s="1"/>
  <c r="U38"/>
  <c r="V38" s="1"/>
  <c r="U37"/>
  <c r="V37" s="1"/>
  <c r="P36"/>
  <c r="O36"/>
  <c r="N36"/>
  <c r="M36"/>
  <c r="L36"/>
  <c r="K36"/>
  <c r="J36"/>
  <c r="I36"/>
  <c r="H36"/>
  <c r="G36"/>
  <c r="F36"/>
  <c r="E36"/>
  <c r="T36"/>
  <c r="U35"/>
  <c r="V35" s="1"/>
  <c r="U34"/>
  <c r="V34" s="1"/>
  <c r="U32"/>
  <c r="V32" s="1"/>
  <c r="U31"/>
  <c r="V31" s="1"/>
  <c r="P29"/>
  <c r="O29"/>
  <c r="N29"/>
  <c r="M29"/>
  <c r="L29"/>
  <c r="K29"/>
  <c r="J29"/>
  <c r="I29"/>
  <c r="H29"/>
  <c r="G29"/>
  <c r="F29"/>
  <c r="E29"/>
  <c r="T29"/>
  <c r="U28"/>
  <c r="V28" s="1"/>
  <c r="T28"/>
  <c r="U27"/>
  <c r="V27" s="1"/>
  <c r="T27"/>
  <c r="U26"/>
  <c r="V26" s="1"/>
  <c r="U25"/>
  <c r="V25" s="1"/>
  <c r="T25"/>
  <c r="U22"/>
  <c r="V22" s="1"/>
  <c r="T22"/>
  <c r="U20"/>
  <c r="V20" s="1"/>
  <c r="T20"/>
  <c r="U19"/>
  <c r="V19" s="1"/>
  <c r="T19"/>
  <c r="P19"/>
  <c r="P15" s="1"/>
  <c r="O19"/>
  <c r="N19"/>
  <c r="N15" s="1"/>
  <c r="M19"/>
  <c r="M15" s="1"/>
  <c r="L19"/>
  <c r="L15" s="1"/>
  <c r="K19"/>
  <c r="K15" s="1"/>
  <c r="J19"/>
  <c r="J15" s="1"/>
  <c r="H19"/>
  <c r="H15" s="1"/>
  <c r="G19"/>
  <c r="G15" s="1"/>
  <c r="F19"/>
  <c r="F15" s="1"/>
  <c r="U17"/>
  <c r="V17" s="1"/>
  <c r="T17"/>
  <c r="U16"/>
  <c r="V16" s="1"/>
  <c r="O16"/>
  <c r="O15" s="1"/>
  <c r="I15"/>
  <c r="F113" l="1"/>
  <c r="F155" s="1"/>
  <c r="E133"/>
  <c r="E132" s="1"/>
  <c r="E155" s="1"/>
  <c r="D132"/>
  <c r="T50"/>
  <c r="X36"/>
  <c r="X50"/>
  <c r="T124"/>
  <c r="X85"/>
  <c r="T103"/>
  <c r="X103"/>
  <c r="U52"/>
  <c r="V52" s="1"/>
  <c r="X52"/>
  <c r="U79"/>
  <c r="V79" s="1"/>
  <c r="U95"/>
  <c r="V95" s="1"/>
  <c r="X95"/>
  <c r="T90"/>
  <c r="X90"/>
  <c r="X124"/>
  <c r="U113"/>
  <c r="V113" s="1"/>
  <c r="X42"/>
  <c r="X39"/>
  <c r="T39"/>
  <c r="X113"/>
  <c r="X47"/>
  <c r="U144"/>
  <c r="V144" s="1"/>
  <c r="W144"/>
  <c r="X144" s="1"/>
  <c r="T143"/>
  <c r="W143" s="1"/>
  <c r="X143" s="1"/>
  <c r="T141"/>
  <c r="X141"/>
  <c r="X29"/>
  <c r="W155"/>
  <c r="W153" s="1"/>
  <c r="T95"/>
  <c r="U98"/>
  <c r="V98" s="1"/>
  <c r="J113"/>
  <c r="J155" s="1"/>
  <c r="T132"/>
  <c r="U42"/>
  <c r="V42" s="1"/>
  <c r="U47"/>
  <c r="V47" s="1"/>
  <c r="H113"/>
  <c r="H155" s="1"/>
  <c r="L113"/>
  <c r="L155" s="1"/>
  <c r="G113"/>
  <c r="G155" s="1"/>
  <c r="K113"/>
  <c r="K155" s="1"/>
  <c r="U29"/>
  <c r="V29" s="1"/>
  <c r="I113"/>
  <c r="I155" s="1"/>
  <c r="U36"/>
  <c r="V36" s="1"/>
  <c r="P113"/>
  <c r="P155" s="1"/>
  <c r="T133"/>
  <c r="W133" s="1"/>
  <c r="X133" s="1"/>
  <c r="U143"/>
  <c r="V143" s="1"/>
  <c r="T79"/>
  <c r="T85"/>
  <c r="U141"/>
  <c r="V141" s="1"/>
  <c r="M155"/>
  <c r="U145"/>
  <c r="V145" s="1"/>
  <c r="O155"/>
  <c r="N155"/>
  <c r="T52"/>
  <c r="U133"/>
  <c r="V133" s="1"/>
  <c r="T145"/>
  <c r="U103"/>
  <c r="V103" s="1"/>
  <c r="U15"/>
  <c r="V15" s="1"/>
  <c r="F157" l="1"/>
  <c r="F153"/>
  <c r="K157"/>
  <c r="K153"/>
  <c r="J157"/>
  <c r="J153"/>
  <c r="O157"/>
  <c r="O153"/>
  <c r="I157"/>
  <c r="I171" s="1"/>
  <c r="I172" s="1"/>
  <c r="I153"/>
  <c r="L157"/>
  <c r="L153"/>
  <c r="P157"/>
  <c r="P153"/>
  <c r="H157"/>
  <c r="H153"/>
  <c r="N157"/>
  <c r="N153" s="1"/>
  <c r="M157"/>
  <c r="M153"/>
  <c r="G157"/>
  <c r="G153"/>
  <c r="E157"/>
  <c r="E153" s="1"/>
  <c r="W79"/>
  <c r="X79" s="1"/>
  <c r="D155"/>
  <c r="W157"/>
  <c r="U132"/>
  <c r="V132" s="1"/>
  <c r="D157" l="1"/>
  <c r="X157" s="1"/>
  <c r="X155"/>
  <c r="U155"/>
  <c r="V155" s="1"/>
  <c r="T155"/>
  <c r="D153" l="1"/>
  <c r="T157"/>
  <c r="U157"/>
  <c r="V157" s="1"/>
  <c r="T153" l="1"/>
  <c r="U153"/>
  <c r="V153" s="1"/>
  <c r="X153"/>
</calcChain>
</file>

<file path=xl/sharedStrings.xml><?xml version="1.0" encoding="utf-8"?>
<sst xmlns="http://schemas.openxmlformats.org/spreadsheetml/2006/main" count="977" uniqueCount="311">
  <si>
    <t>REPÚBLICA DOMINICANA</t>
  </si>
  <si>
    <t>DIRECCIÓN NACIONAL DE CONTROL DE DROGAS</t>
  </si>
  <si>
    <t>-D.N.C.D.-</t>
  </si>
  <si>
    <t>Dirección Financiera</t>
  </si>
  <si>
    <t>Cuenta No.</t>
  </si>
  <si>
    <t>Descripción de Cuenta</t>
  </si>
  <si>
    <t>EJECUCION</t>
  </si>
  <si>
    <t>TOTAL</t>
  </si>
  <si>
    <t xml:space="preserve">% </t>
  </si>
  <si>
    <t>%</t>
  </si>
  <si>
    <t xml:space="preserve"> Gasto Anual</t>
  </si>
  <si>
    <t xml:space="preserve">Gasto  Mensual 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</si>
  <si>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</si>
  <si>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</si>
  <si>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</si>
  <si>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</si>
  <si>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</si>
  <si>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</si>
  <si>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</si>
  <si>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</si>
  <si>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</si>
  <si>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</si>
  <si>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</si>
  <si>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EJECUTADO</t>
  </si>
  <si>
    <t>POR EJECUTAR</t>
  </si>
  <si>
    <t>2.1.1</t>
  </si>
  <si>
    <t>Remuneraciones al Personal Fijo</t>
  </si>
  <si>
    <t>Sueldos fijos</t>
  </si>
  <si>
    <t>Sueldo Anual No.13 (Regalia)</t>
  </si>
  <si>
    <t>Compensación por gastos de alimentación</t>
  </si>
  <si>
    <t>Bono Escolar</t>
  </si>
  <si>
    <t>Contribuciones al seguro de salud</t>
  </si>
  <si>
    <t>Contribuciones al seguro de pensiones</t>
  </si>
  <si>
    <t>2.2.1</t>
  </si>
  <si>
    <t>Servicios Basicos</t>
  </si>
  <si>
    <t>.22.1.1.01</t>
  </si>
  <si>
    <t>Radiocomunicacion</t>
  </si>
  <si>
    <t>Teléfono local</t>
  </si>
  <si>
    <t>Servicio de internet y televisión por cable</t>
  </si>
  <si>
    <t>Agua</t>
  </si>
  <si>
    <t>Recolección de residuos sólidos</t>
  </si>
  <si>
    <t>2.2.2</t>
  </si>
  <si>
    <t>Publicidad Impresión y encuadernacion</t>
  </si>
  <si>
    <t>Publicidad y propaganda</t>
  </si>
  <si>
    <t>2.2.3</t>
  </si>
  <si>
    <t>Viaticos</t>
  </si>
  <si>
    <t>Viáticos dentro del país</t>
  </si>
  <si>
    <t>Viáticos fuera del país</t>
  </si>
  <si>
    <t>2.2.4</t>
  </si>
  <si>
    <t>Transporte y Almacenaje</t>
  </si>
  <si>
    <t>Pasajes</t>
  </si>
  <si>
    <t>Fletes</t>
  </si>
  <si>
    <t>.22.4.4.01</t>
  </si>
  <si>
    <t>Peajes</t>
  </si>
  <si>
    <t>2.2.5</t>
  </si>
  <si>
    <t xml:space="preserve">Alquileres y Rentas  </t>
  </si>
  <si>
    <t>Alquileres y rentas de edificios y locales</t>
  </si>
  <si>
    <t>Otros alquileres</t>
  </si>
  <si>
    <t>2.2.6</t>
  </si>
  <si>
    <t>Seguros</t>
  </si>
  <si>
    <t>Seguro de bienes muebles</t>
  </si>
  <si>
    <t>2.2.7</t>
  </si>
  <si>
    <t>Instalaciones Temporales</t>
  </si>
  <si>
    <t>Obras menores en edificaciones</t>
  </si>
  <si>
    <t>Servicios de pintura y derivados con fin de higiene y embellecimiento</t>
  </si>
  <si>
    <t>Mant. Y reparación de eq. Para computación</t>
  </si>
  <si>
    <t>Mant. Y reparación de equipos de comunicación</t>
  </si>
  <si>
    <t>Mant. Y reparación de eq. Oficina y mueble</t>
  </si>
  <si>
    <t>Mant. Y reparación de equipos sanitarios y laboratorio</t>
  </si>
  <si>
    <t>2.2.8</t>
  </si>
  <si>
    <t>Otros Servicios No personales</t>
  </si>
  <si>
    <t>.22.8.1.01</t>
  </si>
  <si>
    <t>Gastos Judiciales</t>
  </si>
  <si>
    <t>Comisiones y  Gastos Bancarios</t>
  </si>
  <si>
    <t>Lavandería</t>
  </si>
  <si>
    <t>Limpieza e higiene</t>
  </si>
  <si>
    <t>Otros Servicios Tecnicos Profesionales</t>
  </si>
  <si>
    <t xml:space="preserve">.22.8.9.03 </t>
  </si>
  <si>
    <t>Otros gastos operativos de instituciones empresariales</t>
  </si>
  <si>
    <t>2.3.1</t>
  </si>
  <si>
    <t>Alimentos y Productos agroforestales</t>
  </si>
  <si>
    <t>Alimentos para animales</t>
  </si>
  <si>
    <t>Productos forestales</t>
  </si>
  <si>
    <t>Medera, Corcho y su manufactura</t>
  </si>
  <si>
    <t>2.3.2</t>
  </si>
  <si>
    <t>Textiles y Vesturios</t>
  </si>
  <si>
    <t>.23.2.1.01</t>
  </si>
  <si>
    <t>Hilados y Telas</t>
  </si>
  <si>
    <t>.23.2.2.01</t>
  </si>
  <si>
    <t>Acabados textiles</t>
  </si>
  <si>
    <t>.23.2.3.01</t>
  </si>
  <si>
    <t>Prendas de Vestir</t>
  </si>
  <si>
    <t>.23.2.4.01</t>
  </si>
  <si>
    <t>Calzados</t>
  </si>
  <si>
    <t>2.3.3</t>
  </si>
  <si>
    <t>Productos de Papel, Carton e Impresos</t>
  </si>
  <si>
    <t>Papel de escritorio</t>
  </si>
  <si>
    <t>Productos de papel y cartón</t>
  </si>
  <si>
    <t>Productos de artes graficas</t>
  </si>
  <si>
    <t>Libros revistas y periódicos</t>
  </si>
  <si>
    <t>2.3.4</t>
  </si>
  <si>
    <t>Productos Farmaceuticos</t>
  </si>
  <si>
    <t xml:space="preserve">2.3.4.1.01 </t>
  </si>
  <si>
    <t>Productos medicinales</t>
  </si>
  <si>
    <t xml:space="preserve">2.3.4.2.01 </t>
  </si>
  <si>
    <t>Productos veterinarios</t>
  </si>
  <si>
    <t>2.3.5</t>
  </si>
  <si>
    <t>Productos de Cuero, Caucho y Plastico</t>
  </si>
  <si>
    <t>Llantas y neumáticos</t>
  </si>
  <si>
    <t>Artículos de plástico</t>
  </si>
  <si>
    <t>2.3.6</t>
  </si>
  <si>
    <t>Productos de Minerales, Metalicos y No metalicos</t>
  </si>
  <si>
    <t>Productos de Cemento</t>
  </si>
  <si>
    <t>Productos de Vidrios</t>
  </si>
  <si>
    <t>Productos Ferrosos</t>
  </si>
  <si>
    <t>Productos no Ferrosos</t>
  </si>
  <si>
    <t>Estructuras metálicas acabadas</t>
  </si>
  <si>
    <t>.23.6.3.05</t>
  </si>
  <si>
    <t>Productos de hojalata</t>
  </si>
  <si>
    <t>.23.6.3.06</t>
  </si>
  <si>
    <t>Acesorio de Metal</t>
  </si>
  <si>
    <t>Piedra, Arcilla y Arena</t>
  </si>
  <si>
    <t>.23.6.4.07</t>
  </si>
  <si>
    <t>Otros Minerales</t>
  </si>
  <si>
    <t>2.3.7</t>
  </si>
  <si>
    <t>Combustibles, Lubricantes, productos quimicos y conexos</t>
  </si>
  <si>
    <t>Gasolina</t>
  </si>
  <si>
    <t>Gasoil</t>
  </si>
  <si>
    <t>Gas GLP</t>
  </si>
  <si>
    <t>.23.7.1.05</t>
  </si>
  <si>
    <t>Aceites y grasas</t>
  </si>
  <si>
    <t>Lubricantes</t>
  </si>
  <si>
    <t>.23.7.2.01</t>
  </si>
  <si>
    <t>Productos explosivos y pirotecnia</t>
  </si>
  <si>
    <t>Productos químicos de uso personal</t>
  </si>
  <si>
    <t>.23.7.2.04</t>
  </si>
  <si>
    <t>Abonos y fertilizantes</t>
  </si>
  <si>
    <t>Insecticidas, fumigantes y otros</t>
  </si>
  <si>
    <t>Pinturas, lacas, barnices, diluyente, absorbentes</t>
  </si>
  <si>
    <t>2.3.9</t>
  </si>
  <si>
    <t>Productos y Utiles Varios</t>
  </si>
  <si>
    <t>Material para limpieza</t>
  </si>
  <si>
    <t>Útiles de escritorio, oficina, informática y enseñanzas</t>
  </si>
  <si>
    <t>Útiles destinados a actividades deportivas y recreativas</t>
  </si>
  <si>
    <t>Utiles de Cocina y Comedor</t>
  </si>
  <si>
    <t>Productos eléctricos y afines</t>
  </si>
  <si>
    <t>.23.9.7.01</t>
  </si>
  <si>
    <t>Productos y Utiles Veterinarios</t>
  </si>
  <si>
    <t>.23.9.9.01</t>
  </si>
  <si>
    <t>Productos y Utiles Varios N.I.P</t>
  </si>
  <si>
    <t>2.4.1</t>
  </si>
  <si>
    <t>Transferencias Corrientes sector Privado</t>
  </si>
  <si>
    <t>.24.1.1.01</t>
  </si>
  <si>
    <t>Pensiones</t>
  </si>
  <si>
    <t>Ayudas y donaciones programadas a hogares y personas</t>
  </si>
  <si>
    <t>.24.1.2.02</t>
  </si>
  <si>
    <t>Ayudas y donaciones ocacionales a Hogares y Personas</t>
  </si>
  <si>
    <t>.24.1.6.01</t>
  </si>
  <si>
    <t>Transferencias corrientes asoc. Sin fines de lucro</t>
  </si>
  <si>
    <t>2.4.2</t>
  </si>
  <si>
    <t>Transferencias Corrientes Gobierno Central y Nacional</t>
  </si>
  <si>
    <t>.24.2.1.03</t>
  </si>
  <si>
    <t>Aportaciones corrientes al Poder Judicial</t>
  </si>
  <si>
    <t>.24.2.3.01</t>
  </si>
  <si>
    <t>Transferencias corrientes a instituciones publicas de la Seguridad Social para Servicios Personales</t>
  </si>
  <si>
    <t>2.4.4</t>
  </si>
  <si>
    <t>Transferencias Corrientes a Empresas Publicas no financieras</t>
  </si>
  <si>
    <t>Becas Nacionales</t>
  </si>
  <si>
    <t>Transferencia corrient. A inst. Publicas Seg. Social</t>
  </si>
  <si>
    <t>2.6.1</t>
  </si>
  <si>
    <t>Mobiliario y Equipos</t>
  </si>
  <si>
    <t>Muebles de oficina y Estanteria</t>
  </si>
  <si>
    <t>Muebles de Alojamientos, exepto de oficina y estanteria</t>
  </si>
  <si>
    <t xml:space="preserve">Total Sueldos y  Gastos Operacionales </t>
  </si>
  <si>
    <t>2.2.1.6.02</t>
  </si>
  <si>
    <t>Total Gasto Energía no cortable</t>
  </si>
  <si>
    <t>Total Asignación Presupuestaria</t>
  </si>
  <si>
    <t xml:space="preserve">  “AÑO DE LA INNOVACION Y LA COMPETITIVIDAD”</t>
  </si>
  <si>
    <t>EJECUCION DE PRESUPUESTO  PARA EL AÑO 2019</t>
  </si>
  <si>
    <t>2.1.1.1.01</t>
  </si>
  <si>
    <t>2.1.1.1.04</t>
  </si>
  <si>
    <t>Sueldos al personal servicios especiales</t>
  </si>
  <si>
    <t>2.1.1.4.01</t>
  </si>
  <si>
    <t>2.1.2.2.01</t>
  </si>
  <si>
    <t>2.1.2.2.04</t>
  </si>
  <si>
    <t>Prima de Transporte</t>
  </si>
  <si>
    <t>2.1.4.2.01</t>
  </si>
  <si>
    <t>2.1.5.1.01</t>
  </si>
  <si>
    <t>2.1.5.2.01</t>
  </si>
  <si>
    <t>Contribuciones al seguro de Riesgo Laboral</t>
  </si>
  <si>
    <t>2.2.1.3.01</t>
  </si>
  <si>
    <t>2.2.1.5.01</t>
  </si>
  <si>
    <t>2.2.1.7.01</t>
  </si>
  <si>
    <t>2.2.1.8.01</t>
  </si>
  <si>
    <t>2.2.2.1.01</t>
  </si>
  <si>
    <t>2.2.2.2.01</t>
  </si>
  <si>
    <t>Impresión y Encuadernación</t>
  </si>
  <si>
    <t>2.2.3.1.01</t>
  </si>
  <si>
    <t>2.2.3.2.01</t>
  </si>
  <si>
    <t>2.2.4.1.01</t>
  </si>
  <si>
    <t>2.2.4.2.01</t>
  </si>
  <si>
    <t>2.2.5.1.01</t>
  </si>
  <si>
    <t>2.2.5.8.01</t>
  </si>
  <si>
    <t>2.2.6.2.01</t>
  </si>
  <si>
    <t>2.2.7.1.01</t>
  </si>
  <si>
    <t>2.2.7.1.07</t>
  </si>
  <si>
    <t>2.2.7.2.02</t>
  </si>
  <si>
    <t>2.2.7.2.03</t>
  </si>
  <si>
    <t>2.2.7.2.04</t>
  </si>
  <si>
    <t>2.2.7.2.05</t>
  </si>
  <si>
    <t>2.2.7.2.06</t>
  </si>
  <si>
    <t>Mant. Y reparación de eq. De tranp. Tracción y elevación</t>
  </si>
  <si>
    <t>2.2.8.2.01</t>
  </si>
  <si>
    <t>2.2.8.5.02</t>
  </si>
  <si>
    <t>2.2.8.5.03</t>
  </si>
  <si>
    <t>2.2.8.7.06</t>
  </si>
  <si>
    <t>2.3.1.2.01</t>
  </si>
  <si>
    <t>2.3.1.3.03</t>
  </si>
  <si>
    <t>2.3.1.4.01</t>
  </si>
  <si>
    <t>2.3.3.1.01</t>
  </si>
  <si>
    <t>2.3.3.2.01</t>
  </si>
  <si>
    <t>2.3.3.3.01</t>
  </si>
  <si>
    <t>2.3.3.4.01</t>
  </si>
  <si>
    <t>2.3.5.3.01</t>
  </si>
  <si>
    <t>2.3.5.4.01</t>
  </si>
  <si>
    <t>Artículos de Caucho</t>
  </si>
  <si>
    <t>2.3.5.5.01</t>
  </si>
  <si>
    <t>2.3.6.1.01</t>
  </si>
  <si>
    <t>2.3.6.2.01</t>
  </si>
  <si>
    <t>2.3.6.3.01</t>
  </si>
  <si>
    <t>2.3.6.3.02</t>
  </si>
  <si>
    <t>2.3.6.3.03</t>
  </si>
  <si>
    <t>2.3.6.4.04</t>
  </si>
  <si>
    <t>2.3.7.1.01</t>
  </si>
  <si>
    <t>2.3.7.1.02</t>
  </si>
  <si>
    <t>2.3.7.1.04</t>
  </si>
  <si>
    <t>2.3.7.1.06</t>
  </si>
  <si>
    <t>2.3.7.2.03</t>
  </si>
  <si>
    <t>2.3.7.2.05</t>
  </si>
  <si>
    <t>2.3.7.2.06</t>
  </si>
  <si>
    <t>2.3.9.1.01</t>
  </si>
  <si>
    <t>2.3.9.2.01</t>
  </si>
  <si>
    <t>2.3.9.4.01</t>
  </si>
  <si>
    <t>2.3.9.5.01</t>
  </si>
  <si>
    <t>2.3.9.6.01</t>
  </si>
  <si>
    <t>2.4.1.2.01</t>
  </si>
  <si>
    <t>2.4.1.4.01</t>
  </si>
  <si>
    <t>2.4.2.3.01</t>
  </si>
  <si>
    <t>2.6.1.1.01</t>
  </si>
  <si>
    <t>2.6.1.1.02</t>
  </si>
  <si>
    <t>Madera, corcho y su manufactura</t>
  </si>
  <si>
    <t>Lic. JUAN BTA. BRITO MELO</t>
  </si>
  <si>
    <t>Mayor Contador, FARD. (CPA).</t>
  </si>
  <si>
    <t>Encargado Depto. de Contabilidad, DNCD.</t>
  </si>
  <si>
    <t>2.1.3.2.01</t>
  </si>
  <si>
    <t>2.2.7.1.02</t>
  </si>
  <si>
    <t>Servicios Especiales de Mantenmineto y reparación</t>
  </si>
  <si>
    <t>2.2.8.1.01</t>
  </si>
  <si>
    <t>2.2.8.6.01</t>
  </si>
  <si>
    <t>Eventos generales</t>
  </si>
  <si>
    <t>2.2.8.8.01</t>
  </si>
  <si>
    <t>Impuestos</t>
  </si>
  <si>
    <t>2.6.3.2.01</t>
  </si>
  <si>
    <t>Instrumental médico y de laboratorio</t>
  </si>
  <si>
    <t>2.6.7.5.01</t>
  </si>
  <si>
    <t>Otras estructuras</t>
  </si>
  <si>
    <t>Sueldos al personal seguridad nacional</t>
  </si>
  <si>
    <t>2.1.2.2.02</t>
  </si>
  <si>
    <t>Incentivo por riesgo laboral al personal militar</t>
  </si>
  <si>
    <t>Gastos de Representacion dentro del Pais</t>
  </si>
  <si>
    <t>2.2.8.5.01</t>
  </si>
  <si>
    <t>Fumigación</t>
  </si>
  <si>
    <t>2.2.9.2.01</t>
  </si>
  <si>
    <t>Servicios de Alimentación</t>
  </si>
  <si>
    <t>2.3.1.1.01</t>
  </si>
  <si>
    <t>Alimentos para personas</t>
  </si>
  <si>
    <t>EJECUTAR</t>
  </si>
  <si>
    <t>TOTAL POR</t>
  </si>
  <si>
    <t>2.6.1.4.01</t>
  </si>
  <si>
    <t>Electrodomesticos</t>
  </si>
  <si>
    <t>Subsidio para viviendas economicas</t>
  </si>
  <si>
    <t>Compensación por resultados</t>
  </si>
  <si>
    <t>2.1.2.2.06</t>
  </si>
  <si>
    <t>Energía eléctrica</t>
  </si>
  <si>
    <t>2.2.1.6.01</t>
  </si>
  <si>
    <t>2.2.4.4.01</t>
  </si>
  <si>
    <t>Servicios sanitarios médicos y veterinarios</t>
  </si>
  <si>
    <t>2.2.8.3.01</t>
  </si>
  <si>
    <t>2.3.5.1.01</t>
  </si>
  <si>
    <t>Cueros y pieles</t>
  </si>
  <si>
    <t>Equipo computacional</t>
  </si>
  <si>
    <t>2.6.1.3.01</t>
  </si>
  <si>
    <t>Equipos y Aparatos Audiovisuales</t>
  </si>
  <si>
    <t>2.6.2.1.01</t>
  </si>
  <si>
    <t>2.7.2</t>
  </si>
  <si>
    <t>Obras en edificaciones</t>
  </si>
  <si>
    <t>2.7.1.2.01</t>
  </si>
  <si>
    <t>Obras para edificación no residencial</t>
  </si>
  <si>
    <t>2.2.7.2.01</t>
  </si>
  <si>
    <t>2.3.2.1.01</t>
  </si>
  <si>
    <t>2.3.2.2.01</t>
  </si>
  <si>
    <t>2.3.2.3.01</t>
  </si>
  <si>
    <t>2.3.2.4.01</t>
  </si>
  <si>
    <t>2.3.6.3.04</t>
  </si>
  <si>
    <t>Herramientas menores</t>
  </si>
  <si>
    <t>2.3.7.2.99</t>
  </si>
  <si>
    <t>Otros productos quimicos y conexos</t>
  </si>
  <si>
    <t>2.3.9.3.01</t>
  </si>
  <si>
    <t>Utiles menores medico-quirúrgicos</t>
  </si>
  <si>
    <t>2.3.9.8.01</t>
  </si>
  <si>
    <t>Otros repuestos y accesorios menores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</si>
</sst>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\ _€_-;\-* #,##0.00\ _€_-;_-* &quot;-&quot;??\ _€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5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" fillId="0" borderId="0"/>
    <xf numFmtId="0" fontId="1" fillId="0" borderId="0"/>
    <xf numFmtId="9" fontId="14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1" applyFill="1" applyBorder="1"/>
    <xf numFmtId="0" fontId="1" fillId="0" borderId="0" xfId="1" applyBorder="1"/>
    <xf numFmtId="0" fontId="1" fillId="0" borderId="0" xfId="1"/>
    <xf numFmtId="0" fontId="1" fillId="0" borderId="0" xfId="1" applyFont="1"/>
    <xf numFmtId="0" fontId="1" fillId="0" borderId="1" xfId="1" applyFill="1" applyBorder="1"/>
    <xf numFmtId="0" fontId="1" fillId="4" borderId="3" xfId="1" applyFill="1" applyBorder="1"/>
    <xf numFmtId="0" fontId="7" fillId="2" borderId="3" xfId="1" applyFont="1" applyFill="1" applyBorder="1" applyAlignment="1">
      <alignment horizontal="center"/>
    </xf>
    <xf numFmtId="0" fontId="7" fillId="6" borderId="6" xfId="1" applyFont="1" applyFill="1" applyBorder="1" applyAlignment="1">
      <alignment horizontal="left"/>
    </xf>
    <xf numFmtId="40" fontId="7" fillId="7" borderId="3" xfId="1" applyNumberFormat="1" applyFont="1" applyFill="1" applyBorder="1"/>
    <xf numFmtId="40" fontId="7" fillId="8" borderId="5" xfId="1" applyNumberFormat="1" applyFont="1" applyFill="1" applyBorder="1"/>
    <xf numFmtId="40" fontId="7" fillId="5" borderId="5" xfId="1" applyNumberFormat="1" applyFont="1" applyFill="1" applyBorder="1"/>
    <xf numFmtId="10" fontId="7" fillId="5" borderId="5" xfId="1" applyNumberFormat="1" applyFont="1" applyFill="1" applyBorder="1"/>
    <xf numFmtId="40" fontId="7" fillId="2" borderId="3" xfId="1" applyNumberFormat="1" applyFont="1" applyFill="1" applyBorder="1"/>
    <xf numFmtId="10" fontId="7" fillId="2" borderId="3" xfId="1" applyNumberFormat="1" applyFont="1" applyFill="1" applyBorder="1"/>
    <xf numFmtId="0" fontId="10" fillId="9" borderId="3" xfId="1" applyFont="1" applyFill="1" applyBorder="1"/>
    <xf numFmtId="40" fontId="11" fillId="0" borderId="3" xfId="1" applyNumberFormat="1" applyFont="1" applyFill="1" applyBorder="1"/>
    <xf numFmtId="40" fontId="11" fillId="0" borderId="5" xfId="1" applyNumberFormat="1" applyFont="1" applyFill="1" applyBorder="1"/>
    <xf numFmtId="40" fontId="11" fillId="10" borderId="5" xfId="1" applyNumberFormat="1" applyFont="1" applyFill="1" applyBorder="1"/>
    <xf numFmtId="10" fontId="11" fillId="10" borderId="5" xfId="1" applyNumberFormat="1" applyFont="1" applyFill="1" applyBorder="1"/>
    <xf numFmtId="40" fontId="11" fillId="11" borderId="3" xfId="1" applyNumberFormat="1" applyFont="1" applyFill="1" applyBorder="1"/>
    <xf numFmtId="10" fontId="11" fillId="11" borderId="3" xfId="1" applyNumberFormat="1" applyFont="1" applyFill="1" applyBorder="1"/>
    <xf numFmtId="0" fontId="1" fillId="0" borderId="8" xfId="1" applyBorder="1"/>
    <xf numFmtId="40" fontId="11" fillId="0" borderId="7" xfId="1" applyNumberFormat="1" applyFont="1" applyFill="1" applyBorder="1"/>
    <xf numFmtId="0" fontId="12" fillId="6" borderId="3" xfId="1" applyFont="1" applyFill="1" applyBorder="1"/>
    <xf numFmtId="40" fontId="2" fillId="0" borderId="3" xfId="1" applyNumberFormat="1" applyFont="1" applyFill="1" applyBorder="1"/>
    <xf numFmtId="40" fontId="11" fillId="8" borderId="5" xfId="1" applyNumberFormat="1" applyFont="1" applyFill="1" applyBorder="1"/>
    <xf numFmtId="40" fontId="1" fillId="0" borderId="5" xfId="1" applyNumberFormat="1" applyFont="1" applyFill="1" applyBorder="1"/>
    <xf numFmtId="0" fontId="10" fillId="0" borderId="3" xfId="1" applyFont="1" applyFill="1" applyBorder="1"/>
    <xf numFmtId="0" fontId="1" fillId="0" borderId="0" xfId="1" applyFill="1"/>
    <xf numFmtId="0" fontId="1" fillId="0" borderId="8" xfId="1" applyFill="1" applyBorder="1"/>
    <xf numFmtId="0" fontId="1" fillId="0" borderId="0" xfId="1" applyAlignment="1">
      <alignment wrapText="1"/>
    </xf>
    <xf numFmtId="40" fontId="11" fillId="7" borderId="3" xfId="1" applyNumberFormat="1" applyFont="1" applyFill="1" applyBorder="1"/>
    <xf numFmtId="40" fontId="11" fillId="7" borderId="5" xfId="1" applyNumberFormat="1" applyFont="1" applyFill="1" applyBorder="1"/>
    <xf numFmtId="0" fontId="1" fillId="12" borderId="0" xfId="1" applyFill="1"/>
    <xf numFmtId="40" fontId="7" fillId="0" borderId="3" xfId="1" applyNumberFormat="1" applyFont="1" applyFill="1" applyBorder="1"/>
    <xf numFmtId="0" fontId="1" fillId="0" borderId="1" xfId="1" applyFont="1" applyFill="1" applyBorder="1"/>
    <xf numFmtId="0" fontId="1" fillId="0" borderId="0" xfId="1" applyFont="1" applyFill="1" applyBorder="1"/>
    <xf numFmtId="40" fontId="11" fillId="0" borderId="3" xfId="1" applyNumberFormat="1" applyFont="1" applyBorder="1"/>
    <xf numFmtId="40" fontId="11" fillId="0" borderId="9" xfId="1" applyNumberFormat="1" applyFont="1" applyFill="1" applyBorder="1"/>
    <xf numFmtId="0" fontId="1" fillId="0" borderId="3" xfId="1" applyFont="1" applyFill="1" applyBorder="1"/>
    <xf numFmtId="40" fontId="11" fillId="0" borderId="3" xfId="1" applyNumberFormat="1" applyFont="1" applyFill="1" applyBorder="1" applyAlignment="1">
      <alignment horizontal="center"/>
    </xf>
    <xf numFmtId="40" fontId="11" fillId="10" borderId="3" xfId="1" applyNumberFormat="1" applyFont="1" applyFill="1" applyBorder="1"/>
    <xf numFmtId="0" fontId="10" fillId="9" borderId="3" xfId="1" applyFont="1" applyFill="1" applyBorder="1" applyAlignment="1">
      <alignment wrapText="1"/>
    </xf>
    <xf numFmtId="0" fontId="1" fillId="0" borderId="0" xfId="1" applyFont="1" applyFill="1"/>
    <xf numFmtId="0" fontId="13" fillId="0" borderId="1" xfId="1" applyFont="1" applyFill="1" applyBorder="1"/>
    <xf numFmtId="0" fontId="12" fillId="13" borderId="3" xfId="1" applyFont="1" applyFill="1" applyBorder="1"/>
    <xf numFmtId="40" fontId="12" fillId="13" borderId="3" xfId="1" applyNumberFormat="1" applyFont="1" applyFill="1" applyBorder="1"/>
    <xf numFmtId="10" fontId="7" fillId="13" borderId="5" xfId="1" applyNumberFormat="1" applyFont="1" applyFill="1" applyBorder="1"/>
    <xf numFmtId="10" fontId="7" fillId="13" borderId="3" xfId="1" applyNumberFormat="1" applyFont="1" applyFill="1" applyBorder="1"/>
    <xf numFmtId="0" fontId="13" fillId="0" borderId="0" xfId="1" applyFont="1"/>
    <xf numFmtId="0" fontId="3" fillId="0" borderId="3" xfId="1" applyFont="1" applyFill="1" applyBorder="1"/>
    <xf numFmtId="40" fontId="1" fillId="0" borderId="5" xfId="1" applyNumberFormat="1" applyFont="1" applyBorder="1"/>
    <xf numFmtId="0" fontId="3" fillId="5" borderId="3" xfId="1" applyFont="1" applyFill="1" applyBorder="1"/>
    <xf numFmtId="40" fontId="3" fillId="4" borderId="3" xfId="1" applyNumberFormat="1" applyFont="1" applyFill="1" applyBorder="1"/>
    <xf numFmtId="40" fontId="3" fillId="5" borderId="5" xfId="1" applyNumberFormat="1" applyFont="1" applyFill="1" applyBorder="1"/>
    <xf numFmtId="40" fontId="3" fillId="2" borderId="3" xfId="1" applyNumberFormat="1" applyFont="1" applyFill="1" applyBorder="1"/>
    <xf numFmtId="40" fontId="3" fillId="0" borderId="0" xfId="1" applyNumberFormat="1" applyFont="1" applyFill="1" applyBorder="1"/>
    <xf numFmtId="0" fontId="1" fillId="0" borderId="0" xfId="1" applyFont="1" applyBorder="1"/>
    <xf numFmtId="40" fontId="1" fillId="0" borderId="0" xfId="1" applyNumberFormat="1" applyFont="1"/>
    <xf numFmtId="10" fontId="1" fillId="0" borderId="0" xfId="1" applyNumberFormat="1" applyFont="1"/>
    <xf numFmtId="0" fontId="15" fillId="0" borderId="0" xfId="2" applyFont="1" applyAlignment="1">
      <alignment horizontal="left"/>
    </xf>
    <xf numFmtId="0" fontId="16" fillId="0" borderId="0" xfId="2" applyFont="1"/>
    <xf numFmtId="4" fontId="16" fillId="0" borderId="0" xfId="2" applyNumberFormat="1" applyFont="1" applyAlignment="1">
      <alignment horizontal="right"/>
    </xf>
    <xf numFmtId="0" fontId="16" fillId="0" borderId="0" xfId="2" applyFont="1" applyBorder="1"/>
    <xf numFmtId="0" fontId="14" fillId="0" borderId="0" xfId="2"/>
    <xf numFmtId="40" fontId="1" fillId="0" borderId="0" xfId="1" applyNumberFormat="1" applyFont="1" applyBorder="1"/>
    <xf numFmtId="40" fontId="14" fillId="0" borderId="0" xfId="2" applyNumberFormat="1"/>
    <xf numFmtId="0" fontId="1" fillId="0" borderId="8" xfId="1" applyFont="1" applyBorder="1"/>
    <xf numFmtId="0" fontId="13" fillId="9" borderId="3" xfId="8" applyFont="1" applyFill="1" applyBorder="1"/>
    <xf numFmtId="0" fontId="19" fillId="9" borderId="3" xfId="8" applyFont="1" applyFill="1" applyBorder="1"/>
    <xf numFmtId="40" fontId="20" fillId="0" borderId="6" xfId="8" applyNumberFormat="1" applyFont="1" applyFill="1" applyBorder="1"/>
    <xf numFmtId="40" fontId="20" fillId="0" borderId="3" xfId="8" applyNumberFormat="1" applyFont="1" applyFill="1" applyBorder="1"/>
    <xf numFmtId="0" fontId="13" fillId="0" borderId="3" xfId="8" applyFont="1" applyFill="1" applyBorder="1"/>
    <xf numFmtId="0" fontId="19" fillId="0" borderId="3" xfId="8" applyFont="1" applyFill="1" applyBorder="1"/>
    <xf numFmtId="0" fontId="13" fillId="0" borderId="3" xfId="8" applyFont="1" applyFill="1" applyBorder="1" applyAlignment="1">
      <alignment wrapText="1"/>
    </xf>
    <xf numFmtId="40" fontId="20" fillId="0" borderId="3" xfId="8" applyNumberFormat="1" applyFont="1" applyBorder="1"/>
    <xf numFmtId="0" fontId="13" fillId="0" borderId="3" xfId="8" applyFont="1" applyFill="1" applyBorder="1" applyAlignment="1">
      <alignment horizontal="left"/>
    </xf>
    <xf numFmtId="40" fontId="20" fillId="0" borderId="3" xfId="8" applyNumberFormat="1" applyFont="1" applyFill="1" applyBorder="1" applyAlignment="1">
      <alignment horizontal="right"/>
    </xf>
    <xf numFmtId="40" fontId="21" fillId="0" borderId="3" xfId="8" applyNumberFormat="1" applyFont="1" applyBorder="1"/>
    <xf numFmtId="0" fontId="22" fillId="0" borderId="3" xfId="8" applyFont="1" applyFill="1" applyBorder="1"/>
    <xf numFmtId="40" fontId="4" fillId="0" borderId="3" xfId="8" applyNumberFormat="1" applyFont="1" applyBorder="1"/>
    <xf numFmtId="40" fontId="7" fillId="0" borderId="5" xfId="1" applyNumberFormat="1" applyFont="1" applyFill="1" applyBorder="1"/>
    <xf numFmtId="40" fontId="11" fillId="9" borderId="5" xfId="1" applyNumberFormat="1" applyFont="1" applyFill="1" applyBorder="1"/>
    <xf numFmtId="40" fontId="11" fillId="9" borderId="7" xfId="1" applyNumberFormat="1" applyFont="1" applyFill="1" applyBorder="1"/>
    <xf numFmtId="40" fontId="1" fillId="9" borderId="5" xfId="1" applyNumberFormat="1" applyFont="1" applyFill="1" applyBorder="1"/>
    <xf numFmtId="40" fontId="11" fillId="9" borderId="3" xfId="1" applyNumberFormat="1" applyFont="1" applyFill="1" applyBorder="1"/>
    <xf numFmtId="0" fontId="7" fillId="6" borderId="3" xfId="1" applyFont="1" applyFill="1" applyBorder="1" applyAlignment="1">
      <alignment horizontal="left" wrapText="1"/>
    </xf>
    <xf numFmtId="0" fontId="3" fillId="6" borderId="3" xfId="1" applyFont="1" applyFill="1" applyBorder="1"/>
    <xf numFmtId="0" fontId="1" fillId="9" borderId="3" xfId="1" applyFill="1" applyBorder="1"/>
    <xf numFmtId="0" fontId="1" fillId="0" borderId="3" xfId="1" applyBorder="1" applyAlignment="1">
      <alignment horizontal="left"/>
    </xf>
    <xf numFmtId="0" fontId="1" fillId="0" borderId="3" xfId="1" applyFill="1" applyBorder="1"/>
    <xf numFmtId="0" fontId="1" fillId="9" borderId="3" xfId="1" applyFont="1" applyFill="1" applyBorder="1"/>
    <xf numFmtId="0" fontId="1" fillId="5" borderId="3" xfId="1" applyFont="1" applyFill="1" applyBorder="1"/>
    <xf numFmtId="0" fontId="10" fillId="9" borderId="6" xfId="1" applyFont="1" applyFill="1" applyBorder="1"/>
    <xf numFmtId="40" fontId="11" fillId="0" borderId="6" xfId="1" applyNumberFormat="1" applyFont="1" applyFill="1" applyBorder="1"/>
    <xf numFmtId="40" fontId="7" fillId="2" borderId="5" xfId="1" applyNumberFormat="1" applyFont="1" applyFill="1" applyBorder="1"/>
    <xf numFmtId="10" fontId="7" fillId="2" borderId="5" xfId="1" applyNumberFormat="1" applyFont="1" applyFill="1" applyBorder="1"/>
    <xf numFmtId="10" fontId="12" fillId="13" borderId="3" xfId="1" applyNumberFormat="1" applyFont="1" applyFill="1" applyBorder="1"/>
    <xf numFmtId="10" fontId="3" fillId="5" borderId="5" xfId="1" applyNumberFormat="1" applyFont="1" applyFill="1" applyBorder="1"/>
    <xf numFmtId="0" fontId="0" fillId="0" borderId="3" xfId="1" applyFont="1" applyFill="1" applyBorder="1"/>
    <xf numFmtId="40" fontId="0" fillId="0" borderId="0" xfId="1" applyNumberFormat="1" applyFont="1"/>
    <xf numFmtId="0" fontId="7" fillId="3" borderId="3" xfId="1" applyFont="1" applyFill="1" applyBorder="1" applyAlignment="1">
      <alignment horizontal="center"/>
    </xf>
    <xf numFmtId="0" fontId="1" fillId="4" borderId="3" xfId="1" applyFont="1" applyFill="1" applyBorder="1"/>
    <xf numFmtId="0" fontId="7" fillId="5" borderId="3" xfId="1" applyFont="1" applyFill="1" applyBorder="1" applyAlignment="1">
      <alignment horizontal="center"/>
    </xf>
    <xf numFmtId="40" fontId="7" fillId="8" borderId="3" xfId="1" applyNumberFormat="1" applyFont="1" applyFill="1" applyBorder="1"/>
    <xf numFmtId="40" fontId="7" fillId="5" borderId="3" xfId="1" applyNumberFormat="1" applyFont="1" applyFill="1" applyBorder="1"/>
    <xf numFmtId="10" fontId="7" fillId="5" borderId="3" xfId="1" applyNumberFormat="1" applyFont="1" applyFill="1" applyBorder="1"/>
    <xf numFmtId="0" fontId="9" fillId="5" borderId="10" xfId="1" applyFont="1" applyFill="1" applyBorder="1" applyAlignment="1"/>
    <xf numFmtId="0" fontId="0" fillId="0" borderId="11" xfId="0" applyBorder="1" applyAlignment="1"/>
    <xf numFmtId="0" fontId="19" fillId="9" borderId="6" xfId="8" applyFont="1" applyFill="1" applyBorder="1"/>
    <xf numFmtId="0" fontId="0" fillId="9" borderId="3" xfId="1" applyFont="1" applyFill="1" applyBorder="1"/>
    <xf numFmtId="0" fontId="7" fillId="4" borderId="3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40" fontId="7" fillId="7" borderId="6" xfId="1" applyNumberFormat="1" applyFont="1" applyFill="1" applyBorder="1"/>
    <xf numFmtId="40" fontId="7" fillId="7" borderId="5" xfId="1" applyNumberFormat="1" applyFont="1" applyFill="1" applyBorder="1"/>
    <xf numFmtId="40" fontId="7" fillId="9" borderId="5" xfId="1" applyNumberFormat="1" applyFont="1" applyFill="1" applyBorder="1"/>
    <xf numFmtId="0" fontId="23" fillId="0" borderId="0" xfId="1" applyFont="1" applyBorder="1"/>
    <xf numFmtId="0" fontId="24" fillId="5" borderId="3" xfId="1" applyFont="1" applyFill="1" applyBorder="1" applyAlignment="1">
      <alignment horizontal="center"/>
    </xf>
    <xf numFmtId="40" fontId="24" fillId="8" borderId="3" xfId="1" applyNumberFormat="1" applyFont="1" applyFill="1" applyBorder="1"/>
    <xf numFmtId="40" fontId="24" fillId="8" borderId="5" xfId="1" applyNumberFormat="1" applyFont="1" applyFill="1" applyBorder="1"/>
    <xf numFmtId="40" fontId="23" fillId="9" borderId="5" xfId="1" applyNumberFormat="1" applyFont="1" applyFill="1" applyBorder="1"/>
    <xf numFmtId="40" fontId="24" fillId="9" borderId="5" xfId="1" applyNumberFormat="1" applyFont="1" applyFill="1" applyBorder="1"/>
    <xf numFmtId="40" fontId="23" fillId="9" borderId="7" xfId="1" applyNumberFormat="1" applyFont="1" applyFill="1" applyBorder="1"/>
    <xf numFmtId="40" fontId="24" fillId="9" borderId="7" xfId="1" applyNumberFormat="1" applyFont="1" applyFill="1" applyBorder="1"/>
    <xf numFmtId="40" fontId="23" fillId="0" borderId="5" xfId="1" applyNumberFormat="1" applyFont="1" applyFill="1" applyBorder="1"/>
    <xf numFmtId="40" fontId="23" fillId="0" borderId="3" xfId="1" applyNumberFormat="1" applyFont="1" applyFill="1" applyBorder="1"/>
    <xf numFmtId="40" fontId="23" fillId="9" borderId="3" xfId="1" applyNumberFormat="1" applyFont="1" applyFill="1" applyBorder="1"/>
    <xf numFmtId="40" fontId="23" fillId="7" borderId="5" xfId="1" applyNumberFormat="1" applyFont="1" applyFill="1" applyBorder="1"/>
    <xf numFmtId="40" fontId="23" fillId="0" borderId="9" xfId="1" applyNumberFormat="1" applyFont="1" applyFill="1" applyBorder="1"/>
    <xf numFmtId="40" fontId="23" fillId="10" borderId="5" xfId="1" applyNumberFormat="1" applyFont="1" applyFill="1" applyBorder="1"/>
    <xf numFmtId="40" fontId="24" fillId="13" borderId="3" xfId="1" applyNumberFormat="1" applyFont="1" applyFill="1" applyBorder="1"/>
    <xf numFmtId="40" fontId="23" fillId="0" borderId="5" xfId="1" applyNumberFormat="1" applyFont="1" applyBorder="1"/>
    <xf numFmtId="40" fontId="24" fillId="5" borderId="5" xfId="1" applyNumberFormat="1" applyFont="1" applyFill="1" applyBorder="1"/>
    <xf numFmtId="40" fontId="23" fillId="0" borderId="0" xfId="1" applyNumberFormat="1" applyFont="1"/>
    <xf numFmtId="40" fontId="24" fillId="0" borderId="0" xfId="1" applyNumberFormat="1" applyFont="1" applyFill="1" applyBorder="1"/>
    <xf numFmtId="40" fontId="23" fillId="0" borderId="0" xfId="1" applyNumberFormat="1" applyFont="1" applyBorder="1"/>
    <xf numFmtId="0" fontId="23" fillId="0" borderId="0" xfId="1" applyFont="1"/>
    <xf numFmtId="0" fontId="25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6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/>
    </xf>
    <xf numFmtId="40" fontId="7" fillId="5" borderId="6" xfId="1" applyNumberFormat="1" applyFont="1" applyFill="1" applyBorder="1"/>
    <xf numFmtId="0" fontId="7" fillId="5" borderId="2" xfId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10" fontId="7" fillId="5" borderId="6" xfId="1" applyNumberFormat="1" applyFont="1" applyFill="1" applyBorder="1"/>
    <xf numFmtId="0" fontId="7" fillId="2" borderId="10" xfId="1" applyFont="1" applyFill="1" applyBorder="1" applyAlignment="1">
      <alignment horizontal="center"/>
    </xf>
    <xf numFmtId="40" fontId="7" fillId="2" borderId="6" xfId="1" applyNumberFormat="1" applyFont="1" applyFill="1" applyBorder="1"/>
    <xf numFmtId="0" fontId="7" fillId="2" borderId="0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10" fontId="7" fillId="2" borderId="6" xfId="1" applyNumberFormat="1" applyFont="1" applyFill="1" applyBorder="1"/>
    <xf numFmtId="0" fontId="7" fillId="2" borderId="2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4" fontId="1" fillId="0" borderId="0" xfId="1" applyNumberFormat="1" applyFont="1"/>
    <xf numFmtId="0" fontId="1" fillId="9" borderId="3" xfId="8" applyFont="1" applyFill="1" applyBorder="1"/>
    <xf numFmtId="0" fontId="10" fillId="9" borderId="3" xfId="8" applyFont="1" applyFill="1" applyBorder="1"/>
    <xf numFmtId="40" fontId="11" fillId="0" borderId="6" xfId="8" applyNumberFormat="1" applyFont="1" applyFill="1" applyBorder="1"/>
    <xf numFmtId="0" fontId="10" fillId="9" borderId="6" xfId="8" applyFont="1" applyFill="1" applyBorder="1"/>
    <xf numFmtId="40" fontId="11" fillId="0" borderId="3" xfId="8" applyNumberFormat="1" applyFont="1" applyFill="1" applyBorder="1"/>
    <xf numFmtId="0" fontId="1" fillId="0" borderId="3" xfId="8" applyFont="1" applyFill="1" applyBorder="1"/>
    <xf numFmtId="0" fontId="10" fillId="0" borderId="3" xfId="8" applyFont="1" applyFill="1" applyBorder="1"/>
    <xf numFmtId="0" fontId="1" fillId="0" borderId="3" xfId="8" applyFont="1" applyFill="1" applyBorder="1" applyAlignment="1">
      <alignment wrapText="1"/>
    </xf>
    <xf numFmtId="0" fontId="1" fillId="0" borderId="3" xfId="1" applyFont="1" applyBorder="1" applyAlignment="1">
      <alignment horizontal="left"/>
    </xf>
    <xf numFmtId="0" fontId="1" fillId="0" borderId="0" xfId="1" applyFont="1" applyAlignment="1">
      <alignment wrapText="1"/>
    </xf>
    <xf numFmtId="40" fontId="11" fillId="0" borderId="3" xfId="8" applyNumberFormat="1" applyFont="1" applyBorder="1"/>
    <xf numFmtId="0" fontId="1" fillId="0" borderId="3" xfId="8" applyFont="1" applyFill="1" applyBorder="1" applyAlignment="1">
      <alignment horizontal="left"/>
    </xf>
    <xf numFmtId="40" fontId="11" fillId="0" borderId="3" xfId="8" applyNumberFormat="1" applyFont="1" applyFill="1" applyBorder="1" applyAlignment="1">
      <alignment horizontal="right"/>
    </xf>
    <xf numFmtId="40" fontId="7" fillId="0" borderId="3" xfId="8" applyNumberFormat="1" applyFont="1" applyBorder="1"/>
    <xf numFmtId="0" fontId="26" fillId="0" borderId="3" xfId="8" applyFont="1" applyFill="1" applyBorder="1"/>
    <xf numFmtId="40" fontId="3" fillId="0" borderId="3" xfId="8" applyNumberFormat="1" applyFont="1" applyBorder="1"/>
    <xf numFmtId="0" fontId="7" fillId="2" borderId="12" xfId="1" applyFont="1" applyFill="1" applyBorder="1" applyAlignment="1">
      <alignment horizontal="center" vertical="center"/>
    </xf>
    <xf numFmtId="0" fontId="7" fillId="5" borderId="10" xfId="1" applyFont="1" applyFill="1" applyBorder="1" applyAlignment="1"/>
    <xf numFmtId="0" fontId="1" fillId="0" borderId="11" xfId="0" applyFont="1" applyBorder="1" applyAlignment="1"/>
    <xf numFmtId="0" fontId="7" fillId="2" borderId="13" xfId="1" applyFont="1" applyFill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40" fontId="17" fillId="0" borderId="0" xfId="2" applyNumberFormat="1" applyFont="1" applyAlignment="1">
      <alignment horizontal="center" vertical="center"/>
    </xf>
    <xf numFmtId="0" fontId="3" fillId="14" borderId="11" xfId="0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wrapText="1"/>
    </xf>
    <xf numFmtId="0" fontId="7" fillId="2" borderId="4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</cellXfs>
  <cellStyles count="10">
    <cellStyle name="Millares 2" xfId="3"/>
    <cellStyle name="Millares 3" xfId="4"/>
    <cellStyle name="Millares 4" xfId="5"/>
    <cellStyle name="Millares 5" xfId="6"/>
    <cellStyle name="Normal" xfId="0" builtinId="0"/>
    <cellStyle name="Normal 2" xfId="2"/>
    <cellStyle name="Normal 3" xfId="7"/>
    <cellStyle name="Normal 4" xfId="8"/>
    <cellStyle name="Normal 4 2" xfId="1"/>
    <cellStyle name="Porcentual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871506</xdr:colOff>
      <xdr:row>0</xdr:row>
      <xdr:rowOff>0</xdr:rowOff>
    </xdr:from>
    <xdr:to>
      <xdr:col>16</xdr:col>
      <xdr:colOff>336118</xdr:colOff>
      <xdr:row>3</xdr:row>
      <xdr:rowOff>11722</xdr:rowOff>
    </xdr:to>
    <xdr:pic>
      <xdr:nvPicPr>
        <xdr:cNvPr id="2" name="il_fi" descr="http://www.cosasdelcibao.net/wp-content/uploads/2009/11/dncd-logo-new-261x300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7667" y="0"/>
          <a:ext cx="544679" cy="57301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871506</xdr:colOff>
      <xdr:row>0</xdr:row>
      <xdr:rowOff>0</xdr:rowOff>
    </xdr:from>
    <xdr:to>
      <xdr:col>16</xdr:col>
      <xdr:colOff>336118</xdr:colOff>
      <xdr:row>3</xdr:row>
      <xdr:rowOff>11722</xdr:rowOff>
    </xdr:to>
    <xdr:pic>
      <xdr:nvPicPr>
        <xdr:cNvPr id="2" name="il_fi" descr="http://www.cosasdelcibao.net/wp-content/uploads/2009/11/dncd-logo-new-261x300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5831" y="0"/>
          <a:ext cx="540937" cy="58322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238111</xdr:colOff>
      <xdr:row>0</xdr:row>
      <xdr:rowOff>0</xdr:rowOff>
    </xdr:from>
    <xdr:to>
      <xdr:col>15</xdr:col>
      <xdr:colOff>885740</xdr:colOff>
      <xdr:row>3</xdr:row>
      <xdr:rowOff>34017</xdr:rowOff>
    </xdr:to>
    <xdr:pic>
      <xdr:nvPicPr>
        <xdr:cNvPr id="2" name="il_fi" descr="http://www.cosasdelcibao.net/wp-content/uploads/2009/11/dncd-logo-new-261x300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941" y="0"/>
          <a:ext cx="647629" cy="5953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7"/>
  <sheetViews>
    <sheetView topLeftCell="A135" zoomScale="112" zoomScaleNormal="112" workbookViewId="0">
      <selection activeCell="W20" sqref="W20"/>
    </sheetView>
  </sheetViews>
  <sheetFormatPr baseColWidth="10" defaultRowHeight="15"/>
  <cols>
    <col min="1" max="1" width="1.42578125" style="36" customWidth="1"/>
    <col min="2" max="2" width="11.140625" style="4" customWidth="1"/>
    <col min="3" max="3" width="49.28515625" style="4" customWidth="1"/>
    <col min="4" max="4" width="16.140625" style="4" bestFit="1" customWidth="1"/>
    <col min="5" max="5" width="15.140625" style="68" hidden="1" customWidth="1"/>
    <col min="6" max="8" width="14.28515625" style="58" hidden="1" customWidth="1"/>
    <col min="9" max="9" width="15.140625" style="58" hidden="1" customWidth="1"/>
    <col min="10" max="16" width="14.28515625" style="58" hidden="1" customWidth="1"/>
    <col min="17" max="18" width="13.42578125" style="58" bestFit="1" customWidth="1"/>
    <col min="19" max="19" width="14.42578125" style="58" bestFit="1" customWidth="1"/>
    <col min="20" max="20" width="11.28515625" style="58" bestFit="1" customWidth="1"/>
    <col min="21" max="21" width="15" style="4" hidden="1" customWidth="1"/>
    <col min="22" max="22" width="13.85546875" style="4" hidden="1" customWidth="1"/>
    <col min="23" max="23" width="16" style="58" bestFit="1" customWidth="1"/>
    <col min="24" max="24" width="9.7109375" style="58" bestFit="1" customWidth="1"/>
    <col min="25" max="16384" width="11.42578125" style="4"/>
  </cols>
  <sheetData>
    <row r="1" spans="1:32">
      <c r="A1" s="37"/>
      <c r="E1" s="58"/>
    </row>
    <row r="2" spans="1:32">
      <c r="A2" s="1"/>
      <c r="B2" s="2"/>
      <c r="C2" s="186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2"/>
      <c r="X2" s="2"/>
    </row>
    <row r="3" spans="1:32">
      <c r="A3" s="1"/>
      <c r="B3" s="2"/>
      <c r="C3" s="186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2"/>
      <c r="X3" s="2"/>
    </row>
    <row r="4" spans="1:32" ht="15.75">
      <c r="A4" s="1"/>
      <c r="B4" s="183" t="s">
        <v>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32" ht="18.75">
      <c r="A5" s="1"/>
      <c r="B5" s="188" t="s">
        <v>1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</row>
    <row r="6" spans="1:32" ht="16.5" customHeight="1">
      <c r="A6" s="1"/>
      <c r="B6" s="188" t="s">
        <v>2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</row>
    <row r="7" spans="1:32" ht="15.75">
      <c r="A7" s="1"/>
      <c r="B7" s="183" t="s">
        <v>3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</row>
    <row r="8" spans="1:32">
      <c r="A8" s="1"/>
      <c r="B8" s="187" t="s">
        <v>177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</row>
    <row r="9" spans="1:32" ht="15.75">
      <c r="A9" s="1"/>
      <c r="B9" s="183" t="s">
        <v>178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</row>
    <row r="10" spans="1:32" ht="6" customHeight="1">
      <c r="A10" s="1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2"/>
      <c r="X10" s="2"/>
    </row>
    <row r="11" spans="1:32" ht="6" customHeight="1">
      <c r="A11" s="1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2"/>
      <c r="X11" s="2"/>
    </row>
    <row r="12" spans="1:32" ht="6" customHeight="1">
      <c r="A12" s="1"/>
      <c r="B12" s="2"/>
      <c r="C12" s="2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2"/>
      <c r="X12" s="2"/>
    </row>
    <row r="13" spans="1:32" ht="19.5" customHeight="1">
      <c r="A13" s="5"/>
      <c r="B13" s="113" t="s">
        <v>4</v>
      </c>
      <c r="C13" s="139" t="s">
        <v>5</v>
      </c>
      <c r="D13" s="142">
        <v>2019</v>
      </c>
      <c r="E13" s="141">
        <v>2019</v>
      </c>
      <c r="F13" s="108" t="s">
        <v>6</v>
      </c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90" t="s">
        <v>6</v>
      </c>
      <c r="R13" s="190"/>
      <c r="S13" s="148" t="s">
        <v>7</v>
      </c>
      <c r="T13" s="146" t="s">
        <v>8</v>
      </c>
      <c r="U13" s="150" t="s">
        <v>7</v>
      </c>
      <c r="V13" s="152" t="s">
        <v>9</v>
      </c>
      <c r="W13" s="157" t="s">
        <v>277</v>
      </c>
      <c r="X13" s="155" t="s">
        <v>8</v>
      </c>
    </row>
    <row r="14" spans="1:32" ht="15" customHeight="1">
      <c r="A14" s="5"/>
      <c r="B14" s="114"/>
      <c r="C14" s="140"/>
      <c r="D14" s="143" t="s">
        <v>10</v>
      </c>
      <c r="E14" s="141" t="s">
        <v>11</v>
      </c>
      <c r="F14" s="104" t="s">
        <v>12</v>
      </c>
      <c r="G14" s="104" t="s">
        <v>13</v>
      </c>
      <c r="H14" s="104" t="s">
        <v>14</v>
      </c>
      <c r="I14" s="104" t="s">
        <v>15</v>
      </c>
      <c r="J14" s="104" t="s">
        <v>16</v>
      </c>
      <c r="K14" s="104" t="s">
        <v>17</v>
      </c>
      <c r="L14" s="104" t="s">
        <v>18</v>
      </c>
      <c r="M14" s="104" t="s">
        <v>19</v>
      </c>
      <c r="N14" s="104" t="s">
        <v>20</v>
      </c>
      <c r="O14" s="104" t="s">
        <v>21</v>
      </c>
      <c r="P14" s="104" t="s">
        <v>22</v>
      </c>
      <c r="Q14" s="104" t="s">
        <v>12</v>
      </c>
      <c r="R14" s="144" t="s">
        <v>13</v>
      </c>
      <c r="S14" s="149" t="s">
        <v>23</v>
      </c>
      <c r="T14" s="147" t="s">
        <v>23</v>
      </c>
      <c r="U14" s="150" t="s">
        <v>24</v>
      </c>
      <c r="V14" s="152" t="s">
        <v>24</v>
      </c>
      <c r="W14" s="158" t="s">
        <v>276</v>
      </c>
      <c r="X14" s="156" t="s">
        <v>276</v>
      </c>
    </row>
    <row r="15" spans="1:32">
      <c r="A15" s="5"/>
      <c r="B15" s="87" t="s">
        <v>25</v>
      </c>
      <c r="C15" s="8" t="s">
        <v>26</v>
      </c>
      <c r="D15" s="115">
        <f t="shared" ref="D15:P15" si="0">SUM(D16:D28)</f>
        <v>1064157849</v>
      </c>
      <c r="E15" s="9">
        <f t="shared" si="0"/>
        <v>82605822.149166673</v>
      </c>
      <c r="F15" s="105">
        <f t="shared" si="0"/>
        <v>80064906.939999998</v>
      </c>
      <c r="G15" s="105">
        <f t="shared" si="0"/>
        <v>51857716.390000001</v>
      </c>
      <c r="H15" s="105">
        <f t="shared" si="0"/>
        <v>51436438.82</v>
      </c>
      <c r="I15" s="105">
        <f t="shared" si="0"/>
        <v>51135379.960000001</v>
      </c>
      <c r="J15" s="105">
        <f t="shared" si="0"/>
        <v>51547466.620000005</v>
      </c>
      <c r="K15" s="105">
        <f t="shared" si="0"/>
        <v>51961921.140000001</v>
      </c>
      <c r="L15" s="105">
        <f t="shared" si="0"/>
        <v>52069267.640000001</v>
      </c>
      <c r="M15" s="105">
        <f t="shared" si="0"/>
        <v>52285582.730000004</v>
      </c>
      <c r="N15" s="105">
        <f t="shared" si="0"/>
        <v>55652936.899999999</v>
      </c>
      <c r="O15" s="105">
        <f t="shared" si="0"/>
        <v>53489623.989999995</v>
      </c>
      <c r="P15" s="105">
        <f t="shared" si="0"/>
        <v>53852557.870000005</v>
      </c>
      <c r="Q15" s="105">
        <f>+Q16+Q17+Q18+Q19+Q20+Q21+Q22+Q23+Q24+Q25+Q26+Q27+Q28</f>
        <v>74457684.830000013</v>
      </c>
      <c r="R15" s="105">
        <f>SUM(R16:R28)</f>
        <v>78068997.269999996</v>
      </c>
      <c r="S15" s="145">
        <f>+Q15+R15</f>
        <v>152526682.10000002</v>
      </c>
      <c r="T15" s="151">
        <f t="shared" ref="T15:T29" si="1">+S15/D15</f>
        <v>0.14333088107495603</v>
      </c>
      <c r="U15" s="13">
        <f>SUM(U16:U28)</f>
        <v>813392466.89999998</v>
      </c>
      <c r="V15" s="14">
        <f>+U15/D15</f>
        <v>0.76435320912621485</v>
      </c>
      <c r="W15" s="153">
        <f>SUM(W16:W28)</f>
        <v>911631166.89999998</v>
      </c>
      <c r="X15" s="159">
        <f t="shared" ref="X15:X29" si="2">+W15/D15</f>
        <v>0.85666911892504394</v>
      </c>
    </row>
    <row r="16" spans="1:32" ht="15.75">
      <c r="A16" s="5"/>
      <c r="B16" s="69" t="s">
        <v>179</v>
      </c>
      <c r="C16" s="70" t="s">
        <v>27</v>
      </c>
      <c r="D16" s="71">
        <f>818941536.08-43200000-74019000</f>
        <v>701722536.08000004</v>
      </c>
      <c r="E16" s="17">
        <f>+D16/12</f>
        <v>58476878.006666668</v>
      </c>
      <c r="F16" s="17">
        <v>27924644.98</v>
      </c>
      <c r="G16" s="17">
        <v>27888683.829999998</v>
      </c>
      <c r="H16" s="17">
        <v>28053912.460000001</v>
      </c>
      <c r="I16" s="17">
        <v>27810505.199999999</v>
      </c>
      <c r="J16" s="17">
        <v>27998340.260000002</v>
      </c>
      <c r="K16" s="17">
        <v>28467424.780000001</v>
      </c>
      <c r="L16" s="17">
        <v>28396849.280000001</v>
      </c>
      <c r="M16" s="17">
        <v>28713505.370000001</v>
      </c>
      <c r="N16" s="17">
        <v>29135451.539999999</v>
      </c>
      <c r="O16" s="17">
        <f>29532570.63+112500</f>
        <v>29645070.629999999</v>
      </c>
      <c r="P16" s="17">
        <v>29419040.66</v>
      </c>
      <c r="Q16" s="83">
        <f>54049614.37</f>
        <v>54049614.369999997</v>
      </c>
      <c r="R16" s="83">
        <v>55380397.229999997</v>
      </c>
      <c r="S16" s="18">
        <f>+Q16+R16</f>
        <v>109430011.59999999</v>
      </c>
      <c r="T16" s="19">
        <f t="shared" si="1"/>
        <v>0.15594484425611266</v>
      </c>
      <c r="U16" s="20">
        <f>+D16-S16</f>
        <v>592292524.48000002</v>
      </c>
      <c r="V16" s="21">
        <f>+U16/D16</f>
        <v>0.84405515574388734</v>
      </c>
      <c r="W16" s="18">
        <f t="shared" ref="W16:W28" si="3">+D16-S16</f>
        <v>592292524.48000002</v>
      </c>
      <c r="X16" s="19">
        <f t="shared" si="2"/>
        <v>0.84405515574388734</v>
      </c>
      <c r="Y16" s="3"/>
      <c r="Z16" s="3"/>
      <c r="AA16" s="3"/>
      <c r="AB16" s="3"/>
      <c r="AC16" s="3"/>
      <c r="AD16" s="3"/>
      <c r="AE16" s="3"/>
      <c r="AF16" s="3"/>
    </row>
    <row r="17" spans="1:32" ht="15.75">
      <c r="A17" s="5"/>
      <c r="B17" s="69" t="s">
        <v>180</v>
      </c>
      <c r="C17" s="70" t="s">
        <v>266</v>
      </c>
      <c r="D17" s="71">
        <v>96000000</v>
      </c>
      <c r="E17" s="17">
        <f t="shared" ref="E17:E28" si="4">+D17/12</f>
        <v>8000000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83">
        <v>8000000</v>
      </c>
      <c r="R17" s="83">
        <v>10000000</v>
      </c>
      <c r="S17" s="18">
        <f t="shared" ref="S17:S28" si="5">+Q17+R17</f>
        <v>18000000</v>
      </c>
      <c r="T17" s="19">
        <f t="shared" si="1"/>
        <v>0.1875</v>
      </c>
      <c r="U17" s="20">
        <f>+D17-S17</f>
        <v>78000000</v>
      </c>
      <c r="V17" s="21">
        <f>+U17/D17</f>
        <v>0.8125</v>
      </c>
      <c r="W17" s="18">
        <f t="shared" si="3"/>
        <v>78000000</v>
      </c>
      <c r="X17" s="19">
        <f t="shared" si="2"/>
        <v>0.8125</v>
      </c>
      <c r="Y17" s="3"/>
      <c r="Z17" s="3"/>
      <c r="AA17" s="3"/>
      <c r="AB17" s="3"/>
      <c r="AC17" s="3"/>
      <c r="AD17" s="3"/>
      <c r="AE17" s="3"/>
      <c r="AF17" s="3"/>
    </row>
    <row r="18" spans="1:32" ht="15.75">
      <c r="A18" s="5"/>
      <c r="B18" s="69" t="s">
        <v>180</v>
      </c>
      <c r="C18" s="70" t="s">
        <v>181</v>
      </c>
      <c r="D18" s="71">
        <f>3600000*12</f>
        <v>43200000</v>
      </c>
      <c r="E18" s="17">
        <f>+D18/12</f>
        <v>3600000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83">
        <v>3600000</v>
      </c>
      <c r="R18" s="83">
        <v>3600000</v>
      </c>
      <c r="S18" s="18">
        <f t="shared" si="5"/>
        <v>7200000</v>
      </c>
      <c r="T18" s="19">
        <f t="shared" si="1"/>
        <v>0.16666666666666666</v>
      </c>
      <c r="U18" s="20"/>
      <c r="V18" s="21"/>
      <c r="W18" s="18">
        <f t="shared" si="3"/>
        <v>36000000</v>
      </c>
      <c r="X18" s="19">
        <f t="shared" si="2"/>
        <v>0.83333333333333337</v>
      </c>
      <c r="Y18" s="3"/>
      <c r="Z18" s="3"/>
      <c r="AA18" s="3"/>
      <c r="AB18" s="3"/>
      <c r="AC18" s="3"/>
      <c r="AD18" s="3"/>
      <c r="AE18" s="3"/>
      <c r="AF18" s="3"/>
    </row>
    <row r="19" spans="1:32" ht="15.75">
      <c r="A19" s="5"/>
      <c r="B19" s="69" t="s">
        <v>182</v>
      </c>
      <c r="C19" s="70" t="s">
        <v>28</v>
      </c>
      <c r="D19" s="71">
        <v>72887983.209999993</v>
      </c>
      <c r="E19" s="17">
        <v>0</v>
      </c>
      <c r="F19" s="17">
        <f>45500+9436260.36+27000</f>
        <v>9508760.3599999994</v>
      </c>
      <c r="G19" s="17">
        <f>45500+9676760.36</f>
        <v>9722260.3599999994</v>
      </c>
      <c r="H19" s="17">
        <f>9740060.36+45500</f>
        <v>9785560.3599999994</v>
      </c>
      <c r="I19" s="17">
        <v>9685656.3599999994</v>
      </c>
      <c r="J19" s="17">
        <f>91000+9667386.36</f>
        <v>9758386.3599999994</v>
      </c>
      <c r="K19" s="17">
        <f>45500+9868072.36</f>
        <v>9913572.3599999994</v>
      </c>
      <c r="L19" s="17">
        <f>45500+9841102.36</f>
        <v>9886602.3599999994</v>
      </c>
      <c r="M19" s="17">
        <f>45500+9893477.36</f>
        <v>9938977.3599999994</v>
      </c>
      <c r="N19" s="17">
        <f>45500+9995807.36</f>
        <v>10041307.359999999</v>
      </c>
      <c r="O19" s="17">
        <f>45500+10059107.36</f>
        <v>10104607.359999999</v>
      </c>
      <c r="P19" s="17">
        <f>45500+10143125.21</f>
        <v>10188625.210000001</v>
      </c>
      <c r="Q19" s="83">
        <v>0</v>
      </c>
      <c r="R19" s="83">
        <v>11250</v>
      </c>
      <c r="S19" s="18">
        <f t="shared" si="5"/>
        <v>11250</v>
      </c>
      <c r="T19" s="19">
        <f t="shared" si="1"/>
        <v>1.5434643002245309E-4</v>
      </c>
      <c r="U19" s="20">
        <f>+D19-S19</f>
        <v>72876733.209999993</v>
      </c>
      <c r="V19" s="21">
        <f>+U19/D19</f>
        <v>0.99984565356997757</v>
      </c>
      <c r="W19" s="18">
        <f t="shared" si="3"/>
        <v>72876733.209999993</v>
      </c>
      <c r="X19" s="19">
        <f t="shared" si="2"/>
        <v>0.99984565356997757</v>
      </c>
      <c r="Y19" s="3"/>
      <c r="Z19" s="3"/>
      <c r="AA19" s="3"/>
      <c r="AB19" s="3"/>
      <c r="AC19" s="3"/>
      <c r="AD19" s="3"/>
      <c r="AE19" s="3"/>
      <c r="AF19" s="3"/>
    </row>
    <row r="20" spans="1:32" s="22" customFormat="1" ht="15.75">
      <c r="A20" s="5"/>
      <c r="B20" s="69" t="s">
        <v>183</v>
      </c>
      <c r="C20" s="70" t="s">
        <v>29</v>
      </c>
      <c r="D20" s="71">
        <v>27933012.93</v>
      </c>
      <c r="E20" s="17">
        <f t="shared" si="4"/>
        <v>2327751.0775000001</v>
      </c>
      <c r="F20" s="17">
        <v>3495501.6</v>
      </c>
      <c r="G20" s="17">
        <v>5110772.2</v>
      </c>
      <c r="H20" s="17">
        <v>4485966</v>
      </c>
      <c r="I20" s="17">
        <v>4493218.4000000004</v>
      </c>
      <c r="J20" s="17">
        <v>4595590</v>
      </c>
      <c r="K20" s="17">
        <v>4385774</v>
      </c>
      <c r="L20" s="17">
        <v>4564816</v>
      </c>
      <c r="M20" s="17">
        <v>4442100</v>
      </c>
      <c r="N20" s="17">
        <v>5199178</v>
      </c>
      <c r="O20" s="17">
        <v>4478946</v>
      </c>
      <c r="P20" s="17">
        <v>4983892</v>
      </c>
      <c r="Q20" s="83">
        <v>1244681</v>
      </c>
      <c r="R20" s="83">
        <v>1585002</v>
      </c>
      <c r="S20" s="18">
        <f t="shared" si="5"/>
        <v>2829683</v>
      </c>
      <c r="T20" s="19">
        <f t="shared" si="1"/>
        <v>0.10130246268425008</v>
      </c>
      <c r="U20" s="20">
        <f>+D20-S20</f>
        <v>25103329.93</v>
      </c>
      <c r="V20" s="21">
        <f>+U20/D20</f>
        <v>0.89869753731574997</v>
      </c>
      <c r="W20" s="18">
        <f t="shared" si="3"/>
        <v>25103329.93</v>
      </c>
      <c r="X20" s="19">
        <f t="shared" si="2"/>
        <v>0.89869753731574997</v>
      </c>
      <c r="Y20" s="3"/>
      <c r="Z20" s="3"/>
      <c r="AA20" s="3"/>
      <c r="AB20" s="3"/>
      <c r="AC20" s="3"/>
      <c r="AD20" s="3"/>
      <c r="AE20" s="3"/>
      <c r="AF20" s="3"/>
    </row>
    <row r="21" spans="1:32" s="2" customFormat="1" ht="15.75">
      <c r="A21" s="1"/>
      <c r="B21" s="69" t="s">
        <v>267</v>
      </c>
      <c r="C21" s="70" t="s">
        <v>268</v>
      </c>
      <c r="D21" s="71">
        <f>6168250*12</f>
        <v>74019000</v>
      </c>
      <c r="E21" s="17">
        <f>+D21/12</f>
        <v>6168250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83">
        <f>45500+6168250</f>
        <v>6213750</v>
      </c>
      <c r="R21" s="83">
        <v>6291550</v>
      </c>
      <c r="S21" s="18">
        <f t="shared" si="5"/>
        <v>12505300</v>
      </c>
      <c r="T21" s="19">
        <f t="shared" si="1"/>
        <v>0.16894716221510694</v>
      </c>
      <c r="U21" s="20"/>
      <c r="V21" s="21"/>
      <c r="W21" s="18">
        <f t="shared" si="3"/>
        <v>61513700</v>
      </c>
      <c r="X21" s="19">
        <f t="shared" si="2"/>
        <v>0.83105283778489303</v>
      </c>
      <c r="Y21" s="3"/>
      <c r="Z21" s="3"/>
      <c r="AA21" s="3"/>
      <c r="AB21" s="3"/>
      <c r="AC21" s="3"/>
      <c r="AD21" s="3"/>
      <c r="AE21" s="3"/>
      <c r="AF21" s="3"/>
    </row>
    <row r="22" spans="1:32" s="2" customFormat="1" ht="15.75">
      <c r="A22" s="1"/>
      <c r="B22" s="69" t="s">
        <v>184</v>
      </c>
      <c r="C22" s="70" t="s">
        <v>185</v>
      </c>
      <c r="D22" s="71">
        <v>1560000</v>
      </c>
      <c r="E22" s="17">
        <f t="shared" si="4"/>
        <v>130000</v>
      </c>
      <c r="F22" s="17">
        <v>38000000</v>
      </c>
      <c r="G22" s="17">
        <v>8000000</v>
      </c>
      <c r="H22" s="17">
        <v>8000000</v>
      </c>
      <c r="I22" s="17">
        <v>8000000</v>
      </c>
      <c r="J22" s="17">
        <v>8000000</v>
      </c>
      <c r="K22" s="17">
        <v>8000000</v>
      </c>
      <c r="L22" s="17">
        <v>8000000</v>
      </c>
      <c r="M22" s="17">
        <v>8000000</v>
      </c>
      <c r="N22" s="17">
        <v>8000000</v>
      </c>
      <c r="O22" s="17">
        <v>8000000</v>
      </c>
      <c r="P22" s="17">
        <v>8000000</v>
      </c>
      <c r="Q22" s="83">
        <v>0</v>
      </c>
      <c r="R22" s="83">
        <v>0</v>
      </c>
      <c r="S22" s="18">
        <f t="shared" si="5"/>
        <v>0</v>
      </c>
      <c r="T22" s="19">
        <f t="shared" si="1"/>
        <v>0</v>
      </c>
      <c r="U22" s="20">
        <f>+D22-S22</f>
        <v>1560000</v>
      </c>
      <c r="V22" s="21">
        <f>+U22/D22</f>
        <v>1</v>
      </c>
      <c r="W22" s="18">
        <f t="shared" si="3"/>
        <v>1560000</v>
      </c>
      <c r="X22" s="19">
        <f t="shared" si="2"/>
        <v>1</v>
      </c>
    </row>
    <row r="23" spans="1:32" s="2" customFormat="1" ht="15.75">
      <c r="A23" s="1"/>
      <c r="B23" s="69" t="s">
        <v>282</v>
      </c>
      <c r="C23" s="110" t="s">
        <v>281</v>
      </c>
      <c r="D23" s="71">
        <v>350000</v>
      </c>
      <c r="E23" s="17">
        <f t="shared" si="4"/>
        <v>29166.666666666668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84">
        <v>0</v>
      </c>
      <c r="R23" s="84">
        <v>0</v>
      </c>
      <c r="S23" s="18">
        <f t="shared" si="5"/>
        <v>0</v>
      </c>
      <c r="T23" s="19">
        <f t="shared" si="1"/>
        <v>0</v>
      </c>
      <c r="U23" s="20"/>
      <c r="V23" s="21"/>
      <c r="W23" s="18">
        <f t="shared" si="3"/>
        <v>350000</v>
      </c>
      <c r="X23" s="19">
        <f t="shared" si="2"/>
        <v>1</v>
      </c>
    </row>
    <row r="24" spans="1:32" s="2" customFormat="1" ht="15.75">
      <c r="A24" s="1"/>
      <c r="B24" s="69" t="s">
        <v>254</v>
      </c>
      <c r="C24" s="94" t="s">
        <v>269</v>
      </c>
      <c r="D24" s="95">
        <f>450000+30000+37000-700-66300</f>
        <v>450000</v>
      </c>
      <c r="E24" s="17">
        <f>+D24/12</f>
        <v>37500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84">
        <v>37500</v>
      </c>
      <c r="R24" s="84">
        <v>37500</v>
      </c>
      <c r="S24" s="18">
        <f t="shared" si="5"/>
        <v>75000</v>
      </c>
      <c r="T24" s="19">
        <f t="shared" si="1"/>
        <v>0.16666666666666666</v>
      </c>
      <c r="U24" s="20"/>
      <c r="V24" s="21"/>
      <c r="W24" s="18">
        <f t="shared" si="3"/>
        <v>375000</v>
      </c>
      <c r="X24" s="19">
        <f t="shared" si="2"/>
        <v>0.83333333333333337</v>
      </c>
    </row>
    <row r="25" spans="1:32" s="2" customFormat="1" ht="15.75">
      <c r="A25" s="1"/>
      <c r="B25" s="69" t="s">
        <v>186</v>
      </c>
      <c r="C25" s="70" t="s">
        <v>30</v>
      </c>
      <c r="D25" s="71">
        <v>2000000</v>
      </c>
      <c r="E25" s="17">
        <f t="shared" si="4"/>
        <v>166666.66666666666</v>
      </c>
      <c r="F25" s="23">
        <v>1098500</v>
      </c>
      <c r="G25" s="23">
        <v>1098500</v>
      </c>
      <c r="H25" s="23">
        <v>1073500</v>
      </c>
      <c r="I25" s="23">
        <v>1108500</v>
      </c>
      <c r="J25" s="23">
        <v>1157650</v>
      </c>
      <c r="K25" s="23">
        <v>1157650</v>
      </c>
      <c r="L25" s="23">
        <v>1183500</v>
      </c>
      <c r="M25" s="23">
        <v>1153500</v>
      </c>
      <c r="N25" s="23">
        <v>1223500</v>
      </c>
      <c r="O25" s="23">
        <v>1223500</v>
      </c>
      <c r="P25" s="23">
        <v>1223500</v>
      </c>
      <c r="Q25" s="84">
        <v>0</v>
      </c>
      <c r="R25" s="84">
        <v>0</v>
      </c>
      <c r="S25" s="18">
        <f t="shared" si="5"/>
        <v>0</v>
      </c>
      <c r="T25" s="19">
        <f t="shared" si="1"/>
        <v>0</v>
      </c>
      <c r="U25" s="20">
        <f>+D25-S25</f>
        <v>2000000</v>
      </c>
      <c r="V25" s="21">
        <f>+U25/D25</f>
        <v>1</v>
      </c>
      <c r="W25" s="18">
        <f t="shared" si="3"/>
        <v>2000000</v>
      </c>
      <c r="X25" s="19">
        <f t="shared" si="2"/>
        <v>1</v>
      </c>
    </row>
    <row r="26" spans="1:32" s="2" customFormat="1" ht="15.75">
      <c r="A26" s="1"/>
      <c r="B26" s="69" t="s">
        <v>187</v>
      </c>
      <c r="C26" s="70" t="s">
        <v>31</v>
      </c>
      <c r="D26" s="72">
        <v>24738781.219999999</v>
      </c>
      <c r="E26" s="17">
        <f t="shared" si="4"/>
        <v>2061565.1016666666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84">
        <v>1068646.56</v>
      </c>
      <c r="R26" s="84">
        <v>1007055.59</v>
      </c>
      <c r="S26" s="18">
        <f t="shared" si="5"/>
        <v>2075702.15</v>
      </c>
      <c r="T26" s="19">
        <f t="shared" si="1"/>
        <v>8.3904786235867765E-2</v>
      </c>
      <c r="U26" s="20">
        <f>+D26-S26</f>
        <v>22663079.07</v>
      </c>
      <c r="V26" s="21">
        <f>+U26/D26</f>
        <v>0.91609521376413228</v>
      </c>
      <c r="W26" s="18">
        <f t="shared" si="3"/>
        <v>22663079.07</v>
      </c>
      <c r="X26" s="19">
        <f t="shared" si="2"/>
        <v>0.91609521376413228</v>
      </c>
    </row>
    <row r="27" spans="1:32" s="2" customFormat="1" ht="15.75">
      <c r="A27" s="1"/>
      <c r="B27" s="69" t="s">
        <v>188</v>
      </c>
      <c r="C27" s="70" t="s">
        <v>32</v>
      </c>
      <c r="D27" s="72">
        <f>37579220.56-50000-250000-6000000-5000000-500000-1000000-500000-800000-200000-150000-300000-100000-3800000-350000-250000-50000-340000-152370-508000-3000-2500000</f>
        <v>14775850.560000002</v>
      </c>
      <c r="E27" s="17">
        <f t="shared" si="4"/>
        <v>1231320.8800000001</v>
      </c>
      <c r="F27" s="23">
        <v>37500</v>
      </c>
      <c r="G27" s="23">
        <v>37500</v>
      </c>
      <c r="H27" s="23">
        <v>37500</v>
      </c>
      <c r="I27" s="23">
        <v>37500</v>
      </c>
      <c r="J27" s="23">
        <v>37500</v>
      </c>
      <c r="K27" s="23">
        <v>37500</v>
      </c>
      <c r="L27" s="23">
        <v>37500</v>
      </c>
      <c r="M27" s="23">
        <v>37500</v>
      </c>
      <c r="N27" s="23">
        <v>37500</v>
      </c>
      <c r="O27" s="23">
        <v>37500</v>
      </c>
      <c r="P27" s="23">
        <v>37500</v>
      </c>
      <c r="Q27" s="84">
        <v>0</v>
      </c>
      <c r="R27" s="84">
        <v>0</v>
      </c>
      <c r="S27" s="18">
        <f t="shared" si="5"/>
        <v>0</v>
      </c>
      <c r="T27" s="19">
        <f t="shared" si="1"/>
        <v>0</v>
      </c>
      <c r="U27" s="20">
        <f>+D27-S27</f>
        <v>14775850.560000002</v>
      </c>
      <c r="V27" s="21">
        <f>+U27/D27</f>
        <v>1</v>
      </c>
      <c r="W27" s="18">
        <f t="shared" si="3"/>
        <v>14775850.560000002</v>
      </c>
      <c r="X27" s="19">
        <f t="shared" si="2"/>
        <v>1</v>
      </c>
    </row>
    <row r="28" spans="1:32" s="22" customFormat="1" ht="15.75">
      <c r="A28" s="5"/>
      <c r="B28" s="69" t="s">
        <v>188</v>
      </c>
      <c r="C28" s="70" t="s">
        <v>189</v>
      </c>
      <c r="D28" s="72">
        <v>4520685</v>
      </c>
      <c r="E28" s="17">
        <f t="shared" si="4"/>
        <v>376723.75</v>
      </c>
      <c r="F28" s="23"/>
      <c r="G28" s="23"/>
      <c r="H28" s="23"/>
      <c r="I28" s="23"/>
      <c r="J28" s="23"/>
      <c r="K28" s="23"/>
      <c r="L28" s="23"/>
      <c r="M28" s="23"/>
      <c r="N28" s="23">
        <v>2016000</v>
      </c>
      <c r="O28" s="23"/>
      <c r="P28" s="23"/>
      <c r="Q28" s="84">
        <v>243492.9</v>
      </c>
      <c r="R28" s="84">
        <v>156242.45000000001</v>
      </c>
      <c r="S28" s="18">
        <f t="shared" si="5"/>
        <v>399735.35</v>
      </c>
      <c r="T28" s="19">
        <f t="shared" si="1"/>
        <v>8.8423623853464681E-2</v>
      </c>
      <c r="U28" s="20">
        <f>+D28-S28</f>
        <v>4120949.65</v>
      </c>
      <c r="V28" s="21">
        <f>+U28/D28</f>
        <v>0.91157637614653531</v>
      </c>
      <c r="W28" s="18">
        <f t="shared" si="3"/>
        <v>4120949.65</v>
      </c>
      <c r="X28" s="19">
        <f t="shared" si="2"/>
        <v>0.91157637614653531</v>
      </c>
      <c r="Y28" s="3"/>
      <c r="Z28" s="3"/>
      <c r="AA28" s="3"/>
      <c r="AB28" s="3"/>
      <c r="AC28" s="3"/>
      <c r="AD28" s="3"/>
      <c r="AE28" s="3"/>
      <c r="AF28" s="3"/>
    </row>
    <row r="29" spans="1:32" s="22" customFormat="1">
      <c r="A29" s="5"/>
      <c r="B29" s="88" t="s">
        <v>33</v>
      </c>
      <c r="C29" s="24" t="s">
        <v>34</v>
      </c>
      <c r="D29" s="9">
        <f t="shared" ref="D29:P29" si="6">SUM(D31:D35)</f>
        <v>17770000</v>
      </c>
      <c r="E29" s="9">
        <f>SUM(E31:E35)</f>
        <v>1464166.666666667</v>
      </c>
      <c r="F29" s="10">
        <f t="shared" si="6"/>
        <v>449011.13999999996</v>
      </c>
      <c r="G29" s="10">
        <f t="shared" si="6"/>
        <v>3773527.8</v>
      </c>
      <c r="H29" s="10">
        <f t="shared" si="6"/>
        <v>2153878.67</v>
      </c>
      <c r="I29" s="10">
        <f t="shared" si="6"/>
        <v>1851543.62</v>
      </c>
      <c r="J29" s="10">
        <f t="shared" si="6"/>
        <v>1530016.42</v>
      </c>
      <c r="K29" s="10">
        <f t="shared" si="6"/>
        <v>2580164.09</v>
      </c>
      <c r="L29" s="10">
        <f t="shared" si="6"/>
        <v>2033453.5899999999</v>
      </c>
      <c r="M29" s="10">
        <f t="shared" si="6"/>
        <v>2025557.28</v>
      </c>
      <c r="N29" s="10">
        <f>SUM(N31:N35)</f>
        <v>2675976.4900000002</v>
      </c>
      <c r="O29" s="10">
        <f>SUM(O31:O35)</f>
        <v>2197579.83</v>
      </c>
      <c r="P29" s="10">
        <f t="shared" si="6"/>
        <v>2103354.17</v>
      </c>
      <c r="Q29" s="10">
        <f>+Q31+Q32+Q33+Q34+Q35</f>
        <v>2159972.88</v>
      </c>
      <c r="R29" s="10">
        <f>+R31+R32+R33+R34+R35</f>
        <v>640390.98</v>
      </c>
      <c r="S29" s="11">
        <f>+S31+S32+S34+S35</f>
        <v>2763940.4000000004</v>
      </c>
      <c r="T29" s="12">
        <f t="shared" si="1"/>
        <v>0.15553969611705123</v>
      </c>
      <c r="U29" s="13">
        <f>SUM(U31:U35)</f>
        <v>14806059.6</v>
      </c>
      <c r="V29" s="14">
        <f>+U29/D29</f>
        <v>0.83320537985368592</v>
      </c>
      <c r="W29" s="96">
        <f>SUM(W31:W35)</f>
        <v>14806059.6</v>
      </c>
      <c r="X29" s="97">
        <f t="shared" si="2"/>
        <v>0.83320537985368592</v>
      </c>
      <c r="Y29" s="3"/>
      <c r="Z29" s="3"/>
      <c r="AA29" s="3"/>
      <c r="AB29" s="3"/>
      <c r="AC29" s="3"/>
      <c r="AD29" s="3"/>
      <c r="AE29" s="3"/>
      <c r="AF29" s="3"/>
    </row>
    <row r="30" spans="1:32" s="22" customFormat="1" hidden="1">
      <c r="A30" s="5"/>
      <c r="B30" s="89" t="s">
        <v>35</v>
      </c>
      <c r="C30" s="15" t="s">
        <v>36</v>
      </c>
      <c r="D30" s="25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25"/>
      <c r="V30" s="25"/>
      <c r="W30" s="17"/>
      <c r="X30" s="17"/>
      <c r="Y30" s="3"/>
      <c r="Z30" s="3"/>
      <c r="AA30" s="3"/>
      <c r="AB30" s="3"/>
      <c r="AC30" s="3"/>
      <c r="AD30" s="3"/>
      <c r="AE30" s="3"/>
      <c r="AF30" s="3"/>
    </row>
    <row r="31" spans="1:32" s="22" customFormat="1" ht="15.75">
      <c r="A31" s="5"/>
      <c r="B31" s="69" t="s">
        <v>190</v>
      </c>
      <c r="C31" s="70" t="s">
        <v>37</v>
      </c>
      <c r="D31" s="72">
        <v>15950000</v>
      </c>
      <c r="E31" s="17">
        <f t="shared" ref="E31:E44" si="7">+D31/12</f>
        <v>1329166.6666666667</v>
      </c>
      <c r="F31" s="17">
        <v>2610.16</v>
      </c>
      <c r="G31" s="17">
        <v>3071543.26</v>
      </c>
      <c r="H31" s="17">
        <v>1607829</v>
      </c>
      <c r="I31" s="17">
        <v>1098196.6200000001</v>
      </c>
      <c r="J31" s="17">
        <v>509161.48</v>
      </c>
      <c r="K31" s="17">
        <v>1685180.01</v>
      </c>
      <c r="L31" s="17">
        <v>1185608.23</v>
      </c>
      <c r="M31" s="17">
        <v>1371395.24</v>
      </c>
      <c r="N31" s="17">
        <v>2092198.21</v>
      </c>
      <c r="O31" s="17">
        <v>1605600.46</v>
      </c>
      <c r="P31" s="17">
        <v>1517491.66</v>
      </c>
      <c r="Q31" s="83">
        <v>1545874.8</v>
      </c>
      <c r="R31" s="83">
        <v>144569.60000000001</v>
      </c>
      <c r="S31" s="18">
        <f t="shared" ref="S31:S60" si="8">+Q31+R31</f>
        <v>1690444.4000000001</v>
      </c>
      <c r="T31" s="19">
        <f>+S31/D31</f>
        <v>0.1059839749216301</v>
      </c>
      <c r="U31" s="20">
        <f>+D31-S31</f>
        <v>14259555.6</v>
      </c>
      <c r="V31" s="21">
        <f>+U31/D31</f>
        <v>0.89401602507836986</v>
      </c>
      <c r="W31" s="18">
        <f>+D31-S31</f>
        <v>14259555.6</v>
      </c>
      <c r="X31" s="19">
        <f>+W31/D31</f>
        <v>0.89401602507836986</v>
      </c>
      <c r="Y31" s="3"/>
      <c r="Z31" s="3"/>
      <c r="AA31" s="3"/>
      <c r="AB31" s="3"/>
      <c r="AC31" s="3"/>
      <c r="AD31" s="3"/>
      <c r="AE31" s="3"/>
      <c r="AF31" s="3"/>
    </row>
    <row r="32" spans="1:32" s="22" customFormat="1" ht="15.75">
      <c r="A32" s="5"/>
      <c r="B32" s="69" t="s">
        <v>191</v>
      </c>
      <c r="C32" s="70" t="s">
        <v>38</v>
      </c>
      <c r="D32" s="72">
        <v>1310000</v>
      </c>
      <c r="E32" s="17">
        <f t="shared" si="7"/>
        <v>109166.66666666667</v>
      </c>
      <c r="F32" s="17">
        <v>427259.98</v>
      </c>
      <c r="G32" s="17">
        <v>691439.54</v>
      </c>
      <c r="H32" s="17">
        <v>521969.67</v>
      </c>
      <c r="I32" s="17">
        <v>748640</v>
      </c>
      <c r="J32" s="17">
        <v>994174.94</v>
      </c>
      <c r="K32" s="17">
        <v>880052.08</v>
      </c>
      <c r="L32" s="17">
        <v>844111.35999999999</v>
      </c>
      <c r="M32" s="17">
        <v>627293.04</v>
      </c>
      <c r="N32" s="17">
        <v>567633.28</v>
      </c>
      <c r="O32" s="17">
        <v>569559.37</v>
      </c>
      <c r="P32" s="17">
        <v>574850.51</v>
      </c>
      <c r="Q32" s="83">
        <v>573921.07999999996</v>
      </c>
      <c r="R32" s="83">
        <v>455731.92</v>
      </c>
      <c r="S32" s="18">
        <f t="shared" si="8"/>
        <v>1029653</v>
      </c>
      <c r="T32" s="19">
        <f>+S32/D32</f>
        <v>0.7859946564885496</v>
      </c>
      <c r="U32" s="20">
        <f>+D32-S32</f>
        <v>280347</v>
      </c>
      <c r="V32" s="21">
        <f>+U32/D32</f>
        <v>0.21400534351145037</v>
      </c>
      <c r="W32" s="18">
        <f>+D32-S32</f>
        <v>280347</v>
      </c>
      <c r="X32" s="19">
        <f>+W32/D32</f>
        <v>0.21400534351145037</v>
      </c>
      <c r="Y32" s="3"/>
      <c r="Z32" s="3"/>
      <c r="AA32" s="3"/>
      <c r="AB32" s="3"/>
      <c r="AC32" s="3"/>
      <c r="AD32" s="3"/>
      <c r="AE32" s="3"/>
      <c r="AF32" s="3"/>
    </row>
    <row r="33" spans="1:32" s="22" customFormat="1" ht="15.75">
      <c r="A33" s="5"/>
      <c r="B33" s="69" t="s">
        <v>284</v>
      </c>
      <c r="C33" s="70" t="s">
        <v>283</v>
      </c>
      <c r="D33" s="72">
        <v>200000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83">
        <v>0</v>
      </c>
      <c r="R33" s="83">
        <v>36423.46</v>
      </c>
      <c r="S33" s="18">
        <f t="shared" si="8"/>
        <v>36423.46</v>
      </c>
      <c r="T33" s="19"/>
      <c r="U33" s="20"/>
      <c r="V33" s="21"/>
      <c r="W33" s="18"/>
      <c r="X33" s="19"/>
      <c r="Y33" s="3"/>
      <c r="Z33" s="3"/>
      <c r="AA33" s="3"/>
      <c r="AB33" s="3"/>
      <c r="AC33" s="3"/>
      <c r="AD33" s="3"/>
      <c r="AE33" s="3"/>
      <c r="AF33" s="3"/>
    </row>
    <row r="34" spans="1:32" s="22" customFormat="1" ht="15.75">
      <c r="A34" s="5"/>
      <c r="B34" s="69" t="s">
        <v>192</v>
      </c>
      <c r="C34" s="70" t="s">
        <v>39</v>
      </c>
      <c r="D34" s="72">
        <v>260000</v>
      </c>
      <c r="E34" s="17">
        <f t="shared" si="7"/>
        <v>21666.666666666668</v>
      </c>
      <c r="F34" s="17">
        <v>10569</v>
      </c>
      <c r="G34" s="17">
        <v>10545</v>
      </c>
      <c r="H34" s="17">
        <v>15634</v>
      </c>
      <c r="I34" s="17">
        <v>827</v>
      </c>
      <c r="J34" s="17">
        <v>22345</v>
      </c>
      <c r="K34" s="17">
        <v>10995</v>
      </c>
      <c r="L34" s="17">
        <v>3734</v>
      </c>
      <c r="M34" s="17">
        <v>22213</v>
      </c>
      <c r="N34" s="17">
        <v>12265</v>
      </c>
      <c r="O34" s="17">
        <v>18085</v>
      </c>
      <c r="P34" s="17">
        <v>11012</v>
      </c>
      <c r="Q34" s="83">
        <v>21827</v>
      </c>
      <c r="R34" s="83">
        <v>3666</v>
      </c>
      <c r="S34" s="18">
        <f t="shared" si="8"/>
        <v>25493</v>
      </c>
      <c r="T34" s="19">
        <f t="shared" ref="T34:T44" si="9">+S34/D34</f>
        <v>9.8049999999999998E-2</v>
      </c>
      <c r="U34" s="20">
        <f t="shared" ref="U34:U44" si="10">+D34-S34</f>
        <v>234507</v>
      </c>
      <c r="V34" s="21">
        <f t="shared" ref="V34:V44" si="11">+U34/D34</f>
        <v>0.90195000000000003</v>
      </c>
      <c r="W34" s="18">
        <f>+D34-S34</f>
        <v>234507</v>
      </c>
      <c r="X34" s="19">
        <f t="shared" ref="X34:X44" si="12">+W34/D34</f>
        <v>0.90195000000000003</v>
      </c>
      <c r="Y34" s="3"/>
      <c r="Z34" s="3"/>
      <c r="AA34" s="3"/>
      <c r="AB34" s="3"/>
      <c r="AC34" s="3"/>
      <c r="AD34" s="3"/>
      <c r="AE34" s="3"/>
      <c r="AF34" s="3"/>
    </row>
    <row r="35" spans="1:32" s="22" customFormat="1" ht="15.75">
      <c r="A35" s="5"/>
      <c r="B35" s="69" t="s">
        <v>193</v>
      </c>
      <c r="C35" s="70" t="s">
        <v>40</v>
      </c>
      <c r="D35" s="72">
        <v>50000</v>
      </c>
      <c r="E35" s="17">
        <f t="shared" si="7"/>
        <v>4166.666666666667</v>
      </c>
      <c r="F35" s="17">
        <v>8572</v>
      </c>
      <c r="G35" s="17"/>
      <c r="H35" s="17">
        <v>8446</v>
      </c>
      <c r="I35" s="17">
        <v>3880</v>
      </c>
      <c r="J35" s="17">
        <v>4335</v>
      </c>
      <c r="K35" s="17">
        <v>3937</v>
      </c>
      <c r="L35" s="17"/>
      <c r="M35" s="17">
        <v>4656</v>
      </c>
      <c r="N35" s="17">
        <v>3880</v>
      </c>
      <c r="O35" s="17">
        <v>4335</v>
      </c>
      <c r="P35" s="17"/>
      <c r="Q35" s="83">
        <v>18350</v>
      </c>
      <c r="R35" s="83">
        <v>0</v>
      </c>
      <c r="S35" s="18">
        <f t="shared" si="8"/>
        <v>18350</v>
      </c>
      <c r="T35" s="19">
        <f t="shared" si="9"/>
        <v>0.36699999999999999</v>
      </c>
      <c r="U35" s="20">
        <f t="shared" si="10"/>
        <v>31650</v>
      </c>
      <c r="V35" s="21">
        <f t="shared" si="11"/>
        <v>0.63300000000000001</v>
      </c>
      <c r="W35" s="18">
        <f>+D35-S35</f>
        <v>31650</v>
      </c>
      <c r="X35" s="19">
        <f t="shared" si="12"/>
        <v>0.63300000000000001</v>
      </c>
      <c r="Y35" s="3"/>
      <c r="Z35" s="3"/>
      <c r="AA35" s="3"/>
      <c r="AB35" s="3"/>
      <c r="AC35" s="3"/>
      <c r="AD35" s="3"/>
      <c r="AE35" s="3"/>
      <c r="AF35" s="3"/>
    </row>
    <row r="36" spans="1:32" s="22" customFormat="1">
      <c r="A36" s="5"/>
      <c r="B36" s="88" t="s">
        <v>41</v>
      </c>
      <c r="C36" s="24" t="s">
        <v>42</v>
      </c>
      <c r="D36" s="9">
        <f t="shared" ref="D36:P36" si="13">SUM(D37:D38)</f>
        <v>802370</v>
      </c>
      <c r="E36" s="9">
        <f t="shared" si="13"/>
        <v>66864.166666666657</v>
      </c>
      <c r="F36" s="10">
        <f t="shared" si="13"/>
        <v>737</v>
      </c>
      <c r="G36" s="10">
        <f t="shared" si="13"/>
        <v>2460</v>
      </c>
      <c r="H36" s="10">
        <f t="shared" si="13"/>
        <v>1165.5</v>
      </c>
      <c r="I36" s="10">
        <f t="shared" si="13"/>
        <v>2915.66</v>
      </c>
      <c r="J36" s="10">
        <f t="shared" si="13"/>
        <v>0</v>
      </c>
      <c r="K36" s="10">
        <f t="shared" si="13"/>
        <v>0</v>
      </c>
      <c r="L36" s="10">
        <f t="shared" si="13"/>
        <v>5490.54</v>
      </c>
      <c r="M36" s="10">
        <f t="shared" si="13"/>
        <v>118</v>
      </c>
      <c r="N36" s="10">
        <f t="shared" si="13"/>
        <v>2663.53</v>
      </c>
      <c r="O36" s="10">
        <f t="shared" si="13"/>
        <v>0</v>
      </c>
      <c r="P36" s="10">
        <f t="shared" si="13"/>
        <v>1752.47</v>
      </c>
      <c r="Q36" s="10">
        <f>+Q37+Q38</f>
        <v>426880.23</v>
      </c>
      <c r="R36" s="10">
        <f>+R37+R38</f>
        <v>229533.04</v>
      </c>
      <c r="S36" s="11">
        <f>+S37+S38</f>
        <v>656413.27</v>
      </c>
      <c r="T36" s="12">
        <f t="shared" si="9"/>
        <v>0.81809298702593569</v>
      </c>
      <c r="U36" s="13">
        <f t="shared" si="10"/>
        <v>145956.72999999998</v>
      </c>
      <c r="V36" s="14">
        <f t="shared" si="11"/>
        <v>0.18190701297406431</v>
      </c>
      <c r="W36" s="96">
        <f>SUM(W37:W38)</f>
        <v>145956.72999999998</v>
      </c>
      <c r="X36" s="97">
        <f t="shared" si="12"/>
        <v>0.18190701297406431</v>
      </c>
      <c r="Y36" s="3"/>
      <c r="Z36" s="3"/>
      <c r="AA36" s="3"/>
      <c r="AB36" s="3"/>
      <c r="AC36" s="3"/>
      <c r="AD36" s="3"/>
      <c r="AE36" s="3"/>
      <c r="AF36" s="3"/>
    </row>
    <row r="37" spans="1:32" s="22" customFormat="1" ht="15.75">
      <c r="A37" s="5"/>
      <c r="B37" s="69" t="s">
        <v>194</v>
      </c>
      <c r="C37" s="70" t="s">
        <v>43</v>
      </c>
      <c r="D37" s="72">
        <v>652370</v>
      </c>
      <c r="E37" s="17">
        <f t="shared" si="7"/>
        <v>54364.166666666664</v>
      </c>
      <c r="F37" s="17">
        <v>737</v>
      </c>
      <c r="G37" s="17">
        <v>50</v>
      </c>
      <c r="H37" s="17"/>
      <c r="I37" s="17"/>
      <c r="J37" s="17"/>
      <c r="K37" s="17"/>
      <c r="L37" s="17"/>
      <c r="M37" s="17"/>
      <c r="N37" s="17"/>
      <c r="O37" s="17"/>
      <c r="P37" s="17"/>
      <c r="Q37" s="83">
        <v>423774.12</v>
      </c>
      <c r="R37" s="83">
        <v>228595.04</v>
      </c>
      <c r="S37" s="18">
        <f t="shared" si="8"/>
        <v>652369.16</v>
      </c>
      <c r="T37" s="19">
        <f t="shared" si="9"/>
        <v>0.99999871238714233</v>
      </c>
      <c r="U37" s="20">
        <f t="shared" si="10"/>
        <v>0.83999999996740371</v>
      </c>
      <c r="V37" s="21">
        <f t="shared" si="11"/>
        <v>1.2876128576841421E-6</v>
      </c>
      <c r="W37" s="18">
        <f>+D37-S37</f>
        <v>0.83999999996740371</v>
      </c>
      <c r="X37" s="19">
        <f t="shared" si="12"/>
        <v>1.2876128576841421E-6</v>
      </c>
      <c r="Y37" s="3"/>
      <c r="Z37" s="3"/>
      <c r="AA37" s="3"/>
      <c r="AB37" s="3"/>
      <c r="AC37" s="3"/>
      <c r="AD37" s="3"/>
      <c r="AE37" s="3"/>
      <c r="AF37" s="3"/>
    </row>
    <row r="38" spans="1:32" s="22" customFormat="1" ht="15.75">
      <c r="A38" s="5"/>
      <c r="B38" s="69" t="s">
        <v>195</v>
      </c>
      <c r="C38" s="70" t="s">
        <v>196</v>
      </c>
      <c r="D38" s="72">
        <v>150000</v>
      </c>
      <c r="E38" s="17">
        <f t="shared" si="7"/>
        <v>12500</v>
      </c>
      <c r="F38" s="17"/>
      <c r="G38" s="17">
        <v>2410</v>
      </c>
      <c r="H38" s="17">
        <v>1165.5</v>
      </c>
      <c r="I38" s="17">
        <v>2915.66</v>
      </c>
      <c r="J38" s="17"/>
      <c r="K38" s="17"/>
      <c r="L38" s="17">
        <v>5490.54</v>
      </c>
      <c r="M38" s="17">
        <v>118</v>
      </c>
      <c r="N38" s="17">
        <v>2663.53</v>
      </c>
      <c r="O38" s="17"/>
      <c r="P38" s="17">
        <v>1752.47</v>
      </c>
      <c r="Q38" s="83">
        <v>3106.11</v>
      </c>
      <c r="R38" s="83">
        <v>938</v>
      </c>
      <c r="S38" s="18">
        <f t="shared" si="8"/>
        <v>4044.11</v>
      </c>
      <c r="T38" s="19">
        <f t="shared" si="9"/>
        <v>2.6960733333333334E-2</v>
      </c>
      <c r="U38" s="20">
        <f t="shared" si="10"/>
        <v>145955.89000000001</v>
      </c>
      <c r="V38" s="21">
        <f t="shared" si="11"/>
        <v>0.97303926666666674</v>
      </c>
      <c r="W38" s="18">
        <f>+D38-S38</f>
        <v>145955.89000000001</v>
      </c>
      <c r="X38" s="19">
        <f t="shared" si="12"/>
        <v>0.97303926666666674</v>
      </c>
      <c r="Y38" s="3"/>
      <c r="Z38" s="3"/>
      <c r="AA38" s="3"/>
      <c r="AB38" s="3"/>
      <c r="AC38" s="3"/>
      <c r="AD38" s="3"/>
      <c r="AE38" s="3"/>
      <c r="AF38" s="3"/>
    </row>
    <row r="39" spans="1:32" s="22" customFormat="1">
      <c r="A39" s="5"/>
      <c r="B39" s="88" t="s">
        <v>44</v>
      </c>
      <c r="C39" s="24" t="s">
        <v>45</v>
      </c>
      <c r="D39" s="9">
        <f t="shared" ref="D39:P39" si="14">SUM(D40:D41)</f>
        <v>3400000</v>
      </c>
      <c r="E39" s="9">
        <f>SUM(E40:E41)</f>
        <v>283333.33333333331</v>
      </c>
      <c r="F39" s="10">
        <f t="shared" si="14"/>
        <v>177471.03</v>
      </c>
      <c r="G39" s="10">
        <f t="shared" si="14"/>
        <v>305156.64</v>
      </c>
      <c r="H39" s="10">
        <f t="shared" si="14"/>
        <v>262545</v>
      </c>
      <c r="I39" s="10">
        <f t="shared" si="14"/>
        <v>829507.03</v>
      </c>
      <c r="J39" s="10">
        <f t="shared" si="14"/>
        <v>831989.64</v>
      </c>
      <c r="K39" s="10">
        <f t="shared" si="14"/>
        <v>440219.75</v>
      </c>
      <c r="L39" s="10">
        <f t="shared" si="14"/>
        <v>878813.81</v>
      </c>
      <c r="M39" s="10">
        <f t="shared" si="14"/>
        <v>543819.54</v>
      </c>
      <c r="N39" s="10">
        <f t="shared" si="14"/>
        <v>399895.55</v>
      </c>
      <c r="O39" s="10">
        <f t="shared" si="14"/>
        <v>582206.17999999993</v>
      </c>
      <c r="P39" s="10">
        <f t="shared" si="14"/>
        <v>151977</v>
      </c>
      <c r="Q39" s="10">
        <f>+Q40+Q41</f>
        <v>443509.8</v>
      </c>
      <c r="R39" s="10">
        <f>+R40+R41</f>
        <v>228943.52</v>
      </c>
      <c r="S39" s="11">
        <f>+S40+S41</f>
        <v>672453.32</v>
      </c>
      <c r="T39" s="12">
        <f t="shared" si="9"/>
        <v>0.19778038823529409</v>
      </c>
      <c r="U39" s="13">
        <f t="shared" si="10"/>
        <v>2727546.68</v>
      </c>
      <c r="V39" s="14">
        <f t="shared" si="11"/>
        <v>0.80221961176470591</v>
      </c>
      <c r="W39" s="96">
        <f>+W40+W41</f>
        <v>2727546.68</v>
      </c>
      <c r="X39" s="97">
        <f t="shared" si="12"/>
        <v>0.80221961176470591</v>
      </c>
      <c r="Y39" s="3"/>
      <c r="Z39" s="3"/>
      <c r="AA39" s="3"/>
      <c r="AB39" s="3"/>
      <c r="AC39" s="3"/>
      <c r="AD39" s="3"/>
      <c r="AE39" s="3"/>
      <c r="AF39" s="3"/>
    </row>
    <row r="40" spans="1:32" s="22" customFormat="1" ht="15.75">
      <c r="A40" s="5"/>
      <c r="B40" s="69" t="s">
        <v>197</v>
      </c>
      <c r="C40" s="70" t="s">
        <v>46</v>
      </c>
      <c r="D40" s="72">
        <f>3000000-450000</f>
        <v>2550000</v>
      </c>
      <c r="E40" s="17">
        <f t="shared" si="7"/>
        <v>212500</v>
      </c>
      <c r="F40" s="17">
        <v>159720</v>
      </c>
      <c r="G40" s="17">
        <v>272010</v>
      </c>
      <c r="H40" s="17">
        <v>170444</v>
      </c>
      <c r="I40" s="17">
        <v>273583</v>
      </c>
      <c r="J40" s="17">
        <v>291740</v>
      </c>
      <c r="K40" s="17">
        <v>226313.37</v>
      </c>
      <c r="L40" s="17">
        <v>497164</v>
      </c>
      <c r="M40" s="17">
        <v>245500</v>
      </c>
      <c r="N40" s="17">
        <v>149560</v>
      </c>
      <c r="O40" s="17">
        <v>174170</v>
      </c>
      <c r="P40" s="17">
        <v>136250</v>
      </c>
      <c r="Q40" s="83">
        <v>242400</v>
      </c>
      <c r="R40" s="83">
        <v>184500</v>
      </c>
      <c r="S40" s="18">
        <f t="shared" si="8"/>
        <v>426900</v>
      </c>
      <c r="T40" s="19">
        <f t="shared" si="9"/>
        <v>0.16741176470588234</v>
      </c>
      <c r="U40" s="20">
        <f t="shared" si="10"/>
        <v>2123100</v>
      </c>
      <c r="V40" s="21">
        <f t="shared" si="11"/>
        <v>0.83258823529411763</v>
      </c>
      <c r="W40" s="18">
        <f>+D40-S40</f>
        <v>2123100</v>
      </c>
      <c r="X40" s="19">
        <f t="shared" si="12"/>
        <v>0.83258823529411763</v>
      </c>
      <c r="Y40" s="3"/>
      <c r="Z40" s="3"/>
      <c r="AA40" s="3"/>
      <c r="AB40" s="3"/>
      <c r="AC40" s="3"/>
      <c r="AD40" s="3"/>
      <c r="AE40" s="3"/>
      <c r="AF40" s="3"/>
    </row>
    <row r="41" spans="1:32" s="22" customFormat="1" ht="15.75">
      <c r="A41" s="5"/>
      <c r="B41" s="69" t="s">
        <v>198</v>
      </c>
      <c r="C41" s="70" t="s">
        <v>47</v>
      </c>
      <c r="D41" s="72">
        <v>850000</v>
      </c>
      <c r="E41" s="17">
        <f t="shared" si="7"/>
        <v>70833.333333333328</v>
      </c>
      <c r="F41" s="17">
        <v>17751.03</v>
      </c>
      <c r="G41" s="17">
        <v>33146.639999999999</v>
      </c>
      <c r="H41" s="17">
        <v>92101</v>
      </c>
      <c r="I41" s="17">
        <v>555924.03</v>
      </c>
      <c r="J41" s="17">
        <v>540249.64</v>
      </c>
      <c r="K41" s="17">
        <v>213906.38</v>
      </c>
      <c r="L41" s="17">
        <v>381649.81</v>
      </c>
      <c r="M41" s="17">
        <v>298319.53999999998</v>
      </c>
      <c r="N41" s="17">
        <v>250335.55</v>
      </c>
      <c r="O41" s="17">
        <v>408036.18</v>
      </c>
      <c r="P41" s="17">
        <v>15727</v>
      </c>
      <c r="Q41" s="83">
        <v>201109.8</v>
      </c>
      <c r="R41" s="83">
        <v>44443.519999999997</v>
      </c>
      <c r="S41" s="18">
        <f t="shared" si="8"/>
        <v>245553.31999999998</v>
      </c>
      <c r="T41" s="19">
        <f t="shared" si="9"/>
        <v>0.28888625882352936</v>
      </c>
      <c r="U41" s="20">
        <f t="shared" si="10"/>
        <v>604446.68000000005</v>
      </c>
      <c r="V41" s="21">
        <f t="shared" si="11"/>
        <v>0.71111374117647064</v>
      </c>
      <c r="W41" s="18">
        <f>+D41-S41</f>
        <v>604446.68000000005</v>
      </c>
      <c r="X41" s="19">
        <f t="shared" si="12"/>
        <v>0.71111374117647064</v>
      </c>
      <c r="Y41" s="3"/>
      <c r="Z41" s="3"/>
      <c r="AA41" s="3"/>
      <c r="AB41" s="3"/>
      <c r="AC41" s="3"/>
      <c r="AD41" s="3"/>
      <c r="AE41" s="3"/>
      <c r="AF41" s="3"/>
    </row>
    <row r="42" spans="1:32" s="22" customFormat="1">
      <c r="A42" s="5"/>
      <c r="B42" s="88" t="s">
        <v>48</v>
      </c>
      <c r="C42" s="24" t="s">
        <v>49</v>
      </c>
      <c r="D42" s="9">
        <f>+D43+D44+D46</f>
        <v>720000</v>
      </c>
      <c r="E42" s="9">
        <f t="shared" ref="E42:M42" si="15">SUM(E43:E44)</f>
        <v>39166.666666666664</v>
      </c>
      <c r="F42" s="10">
        <f t="shared" si="15"/>
        <v>120</v>
      </c>
      <c r="G42" s="10">
        <f t="shared" si="15"/>
        <v>60420.1</v>
      </c>
      <c r="H42" s="10">
        <f t="shared" si="15"/>
        <v>34748</v>
      </c>
      <c r="I42" s="10">
        <f t="shared" si="15"/>
        <v>205970</v>
      </c>
      <c r="J42" s="10">
        <f t="shared" si="15"/>
        <v>34420</v>
      </c>
      <c r="K42" s="10">
        <f t="shared" si="15"/>
        <v>343177.75</v>
      </c>
      <c r="L42" s="10">
        <f t="shared" si="15"/>
        <v>286143.7</v>
      </c>
      <c r="M42" s="10">
        <f t="shared" si="15"/>
        <v>2660</v>
      </c>
      <c r="N42" s="10">
        <f>SUM(N43:N45)</f>
        <v>79290.45</v>
      </c>
      <c r="O42" s="10">
        <f>SUM(O43:O44)</f>
        <v>74793.820000000007</v>
      </c>
      <c r="P42" s="10">
        <f>SUM(P43:P44)</f>
        <v>37120</v>
      </c>
      <c r="Q42" s="10">
        <f>+Q43+Q44+Q46</f>
        <v>40000</v>
      </c>
      <c r="R42" s="10">
        <f>+R43+R44+R46</f>
        <v>76380</v>
      </c>
      <c r="S42" s="11">
        <f>+S43+S44</f>
        <v>78000</v>
      </c>
      <c r="T42" s="12">
        <f t="shared" si="9"/>
        <v>0.10833333333333334</v>
      </c>
      <c r="U42" s="13">
        <f t="shared" si="10"/>
        <v>642000</v>
      </c>
      <c r="V42" s="14">
        <f t="shared" si="11"/>
        <v>0.89166666666666672</v>
      </c>
      <c r="W42" s="96">
        <f>+W43+W44</f>
        <v>392000</v>
      </c>
      <c r="X42" s="97">
        <f t="shared" si="12"/>
        <v>0.5444444444444444</v>
      </c>
      <c r="Y42" s="3"/>
      <c r="Z42" s="3"/>
      <c r="AA42" s="3"/>
      <c r="AB42" s="3"/>
      <c r="AC42" s="3"/>
      <c r="AD42" s="3"/>
      <c r="AE42" s="3"/>
      <c r="AF42" s="3"/>
    </row>
    <row r="43" spans="1:32" s="22" customFormat="1" ht="15.75">
      <c r="A43" s="5"/>
      <c r="B43" s="69" t="s">
        <v>199</v>
      </c>
      <c r="C43" s="70" t="s">
        <v>50</v>
      </c>
      <c r="D43" s="72">
        <v>300000</v>
      </c>
      <c r="E43" s="17">
        <f t="shared" si="7"/>
        <v>25000</v>
      </c>
      <c r="F43" s="17"/>
      <c r="G43" s="17">
        <v>60420.1</v>
      </c>
      <c r="H43" s="17">
        <v>34050</v>
      </c>
      <c r="I43" s="17">
        <v>205790</v>
      </c>
      <c r="J43" s="17">
        <v>34000</v>
      </c>
      <c r="K43" s="17">
        <v>343177.75</v>
      </c>
      <c r="L43" s="17">
        <v>285903.7</v>
      </c>
      <c r="M43" s="17">
        <v>2660</v>
      </c>
      <c r="N43" s="17">
        <v>77130.45</v>
      </c>
      <c r="O43" s="17">
        <v>74793.820000000007</v>
      </c>
      <c r="P43" s="17">
        <v>36000</v>
      </c>
      <c r="Q43" s="83">
        <v>40000</v>
      </c>
      <c r="R43" s="83">
        <v>38000</v>
      </c>
      <c r="S43" s="18">
        <f t="shared" si="8"/>
        <v>78000</v>
      </c>
      <c r="T43" s="19">
        <f t="shared" si="9"/>
        <v>0.26</v>
      </c>
      <c r="U43" s="20">
        <f t="shared" si="10"/>
        <v>222000</v>
      </c>
      <c r="V43" s="21">
        <f t="shared" si="11"/>
        <v>0.74</v>
      </c>
      <c r="W43" s="18">
        <f>+D43-S43</f>
        <v>222000</v>
      </c>
      <c r="X43" s="19">
        <f t="shared" si="12"/>
        <v>0.74</v>
      </c>
      <c r="Y43" s="3"/>
      <c r="Z43" s="3"/>
      <c r="AA43" s="3"/>
      <c r="AB43" s="3"/>
      <c r="AC43" s="3"/>
      <c r="AD43" s="3"/>
      <c r="AE43" s="3"/>
      <c r="AF43" s="3"/>
    </row>
    <row r="44" spans="1:32" s="22" customFormat="1" ht="15.75">
      <c r="A44" s="5"/>
      <c r="B44" s="69" t="s">
        <v>200</v>
      </c>
      <c r="C44" s="70" t="s">
        <v>51</v>
      </c>
      <c r="D44" s="72">
        <v>170000</v>
      </c>
      <c r="E44" s="17">
        <f t="shared" si="7"/>
        <v>14166.666666666666</v>
      </c>
      <c r="F44" s="17">
        <v>120</v>
      </c>
      <c r="G44" s="17"/>
      <c r="H44" s="17">
        <v>698</v>
      </c>
      <c r="I44" s="17">
        <v>180</v>
      </c>
      <c r="J44" s="17">
        <v>420</v>
      </c>
      <c r="K44" s="17"/>
      <c r="L44" s="17">
        <v>240</v>
      </c>
      <c r="M44" s="17"/>
      <c r="N44" s="17">
        <f>1100+1060</f>
        <v>2160</v>
      </c>
      <c r="O44" s="17"/>
      <c r="P44" s="17">
        <v>1120</v>
      </c>
      <c r="Q44" s="17">
        <v>0</v>
      </c>
      <c r="R44" s="17">
        <v>0</v>
      </c>
      <c r="S44" s="18">
        <f t="shared" si="8"/>
        <v>0</v>
      </c>
      <c r="T44" s="19">
        <f t="shared" si="9"/>
        <v>0</v>
      </c>
      <c r="U44" s="20">
        <f t="shared" si="10"/>
        <v>170000</v>
      </c>
      <c r="V44" s="21">
        <f t="shared" si="11"/>
        <v>1</v>
      </c>
      <c r="W44" s="18">
        <f>+D44-S44</f>
        <v>170000</v>
      </c>
      <c r="X44" s="19">
        <f t="shared" si="12"/>
        <v>1</v>
      </c>
      <c r="Y44" s="3"/>
      <c r="Z44" s="3"/>
      <c r="AA44" s="3"/>
      <c r="AB44" s="3"/>
      <c r="AC44" s="3"/>
      <c r="AD44" s="3"/>
      <c r="AE44" s="3"/>
      <c r="AF44" s="3"/>
    </row>
    <row r="45" spans="1:32" s="22" customFormat="1" hidden="1">
      <c r="A45" s="5"/>
      <c r="B45" s="89" t="s">
        <v>52</v>
      </c>
      <c r="C45" s="15" t="s">
        <v>53</v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8">
        <f t="shared" si="8"/>
        <v>0</v>
      </c>
      <c r="T45" s="26"/>
      <c r="U45" s="16"/>
      <c r="V45" s="16"/>
      <c r="W45" s="26"/>
      <c r="X45" s="26"/>
      <c r="Y45" s="3"/>
      <c r="Z45" s="3"/>
      <c r="AA45" s="3"/>
      <c r="AB45" s="3"/>
      <c r="AC45" s="3"/>
      <c r="AD45" s="3"/>
      <c r="AE45" s="3"/>
      <c r="AF45" s="3"/>
    </row>
    <row r="46" spans="1:32" s="22" customFormat="1">
      <c r="A46" s="5"/>
      <c r="B46" s="111" t="s">
        <v>285</v>
      </c>
      <c r="C46" s="15" t="s">
        <v>53</v>
      </c>
      <c r="D46" s="16">
        <v>250000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>
        <v>0</v>
      </c>
      <c r="R46" s="17">
        <v>38380</v>
      </c>
      <c r="S46" s="18">
        <f t="shared" si="8"/>
        <v>38380</v>
      </c>
      <c r="T46" s="26"/>
      <c r="U46" s="16"/>
      <c r="V46" s="16"/>
      <c r="W46" s="26"/>
      <c r="X46" s="26"/>
      <c r="Y46" s="3"/>
      <c r="Z46" s="3"/>
      <c r="AA46" s="3"/>
      <c r="AB46" s="3"/>
      <c r="AC46" s="3"/>
      <c r="AD46" s="3"/>
      <c r="AE46" s="3"/>
      <c r="AF46" s="3"/>
    </row>
    <row r="47" spans="1:32" s="22" customFormat="1">
      <c r="A47" s="5"/>
      <c r="B47" s="88" t="s">
        <v>54</v>
      </c>
      <c r="C47" s="24" t="s">
        <v>55</v>
      </c>
      <c r="D47" s="9">
        <f t="shared" ref="D47:P47" si="16">SUM(D48:D49)</f>
        <v>6600000</v>
      </c>
      <c r="E47" s="9">
        <f>SUM(E48:E49)</f>
        <v>550000</v>
      </c>
      <c r="F47" s="10">
        <f t="shared" si="16"/>
        <v>822253.15999999992</v>
      </c>
      <c r="G47" s="10">
        <f t="shared" si="16"/>
        <v>518913.51</v>
      </c>
      <c r="H47" s="10">
        <f t="shared" si="16"/>
        <v>447215.6</v>
      </c>
      <c r="I47" s="10">
        <f t="shared" si="16"/>
        <v>446539.1</v>
      </c>
      <c r="J47" s="10">
        <f t="shared" si="16"/>
        <v>397975.46</v>
      </c>
      <c r="K47" s="10">
        <f t="shared" si="16"/>
        <v>254045.33</v>
      </c>
      <c r="L47" s="10">
        <f t="shared" si="16"/>
        <v>936564.49</v>
      </c>
      <c r="M47" s="10">
        <f t="shared" si="16"/>
        <v>447583.22</v>
      </c>
      <c r="N47" s="10">
        <f>SUM(N48:N49)</f>
        <v>469305.16</v>
      </c>
      <c r="O47" s="10">
        <f>SUM(O48:O49)</f>
        <v>921609.95</v>
      </c>
      <c r="P47" s="10">
        <f t="shared" si="16"/>
        <v>614178.42000000004</v>
      </c>
      <c r="Q47" s="10">
        <f>+Q48+Q49</f>
        <v>536582.06000000006</v>
      </c>
      <c r="R47" s="10">
        <f>+R48+R49</f>
        <v>473805.16</v>
      </c>
      <c r="S47" s="11">
        <f>+S48+S49</f>
        <v>1010387.22</v>
      </c>
      <c r="T47" s="12">
        <f t="shared" ref="T47:T54" si="17">+S47/D47</f>
        <v>0.15308897272727273</v>
      </c>
      <c r="U47" s="13">
        <f t="shared" ref="U47:U58" si="18">+D47-S47</f>
        <v>5589612.7800000003</v>
      </c>
      <c r="V47" s="14">
        <f t="shared" ref="V47:V58" si="19">+U47/D47</f>
        <v>0.84691102727272727</v>
      </c>
      <c r="W47" s="96">
        <f>+W48+W49</f>
        <v>5589612.7800000003</v>
      </c>
      <c r="X47" s="97">
        <f t="shared" ref="X47:X61" si="20">+W47/D47</f>
        <v>0.84691102727272727</v>
      </c>
      <c r="Y47" s="3"/>
      <c r="Z47" s="3"/>
      <c r="AA47" s="3"/>
      <c r="AB47" s="3"/>
      <c r="AC47" s="3"/>
      <c r="AD47" s="3"/>
      <c r="AE47" s="3"/>
      <c r="AF47" s="3"/>
    </row>
    <row r="48" spans="1:32" s="22" customFormat="1" ht="15.75">
      <c r="A48" s="5"/>
      <c r="B48" s="69" t="s">
        <v>201</v>
      </c>
      <c r="C48" s="70" t="s">
        <v>56</v>
      </c>
      <c r="D48" s="72">
        <v>6000000</v>
      </c>
      <c r="E48" s="17">
        <f t="shared" ref="E48:E49" si="21">+D48/12</f>
        <v>500000</v>
      </c>
      <c r="F48" s="17">
        <v>320375.56</v>
      </c>
      <c r="G48" s="17">
        <v>512659.51</v>
      </c>
      <c r="H48" s="17">
        <v>396770.6</v>
      </c>
      <c r="I48" s="17">
        <v>400961.6</v>
      </c>
      <c r="J48" s="17">
        <v>377089.46</v>
      </c>
      <c r="K48" s="17">
        <v>254045.33</v>
      </c>
      <c r="L48" s="17">
        <v>865533.49</v>
      </c>
      <c r="M48" s="17">
        <v>347041.42</v>
      </c>
      <c r="N48" s="17">
        <v>469305.16</v>
      </c>
      <c r="O48" s="17">
        <v>756409.95</v>
      </c>
      <c r="P48" s="17">
        <v>614178.42000000004</v>
      </c>
      <c r="Q48" s="83">
        <v>536582.06000000006</v>
      </c>
      <c r="R48" s="83">
        <v>473805.16</v>
      </c>
      <c r="S48" s="18">
        <f t="shared" si="8"/>
        <v>1010387.22</v>
      </c>
      <c r="T48" s="19">
        <f t="shared" si="17"/>
        <v>0.16839787000000001</v>
      </c>
      <c r="U48" s="20">
        <f t="shared" si="18"/>
        <v>4989612.78</v>
      </c>
      <c r="V48" s="21">
        <f t="shared" si="19"/>
        <v>0.83160213000000005</v>
      </c>
      <c r="W48" s="18">
        <f>+D48-S48</f>
        <v>4989612.78</v>
      </c>
      <c r="X48" s="19">
        <f t="shared" si="20"/>
        <v>0.83160213000000005</v>
      </c>
      <c r="Y48" s="3"/>
      <c r="Z48" s="3"/>
      <c r="AA48" s="3"/>
      <c r="AB48" s="3"/>
      <c r="AC48" s="3"/>
      <c r="AD48" s="3"/>
      <c r="AE48" s="3"/>
      <c r="AF48" s="3"/>
    </row>
    <row r="49" spans="1:32" s="22" customFormat="1" ht="15.75">
      <c r="A49" s="5"/>
      <c r="B49" s="69" t="s">
        <v>202</v>
      </c>
      <c r="C49" s="70" t="s">
        <v>57</v>
      </c>
      <c r="D49" s="72">
        <v>600000</v>
      </c>
      <c r="E49" s="17">
        <f t="shared" si="21"/>
        <v>50000</v>
      </c>
      <c r="F49" s="17">
        <v>501877.6</v>
      </c>
      <c r="G49" s="17">
        <v>6254</v>
      </c>
      <c r="H49" s="17">
        <v>50445</v>
      </c>
      <c r="I49" s="17">
        <v>45577.5</v>
      </c>
      <c r="J49" s="17">
        <v>20886</v>
      </c>
      <c r="K49" s="17"/>
      <c r="L49" s="17">
        <v>71031</v>
      </c>
      <c r="M49" s="17">
        <v>100541.8</v>
      </c>
      <c r="N49" s="17"/>
      <c r="O49" s="17">
        <v>165200</v>
      </c>
      <c r="P49" s="17"/>
      <c r="Q49" s="17">
        <v>0</v>
      </c>
      <c r="R49" s="17">
        <v>0</v>
      </c>
      <c r="S49" s="18">
        <f t="shared" si="8"/>
        <v>0</v>
      </c>
      <c r="T49" s="19">
        <f t="shared" si="17"/>
        <v>0</v>
      </c>
      <c r="U49" s="20">
        <f t="shared" si="18"/>
        <v>600000</v>
      </c>
      <c r="V49" s="21">
        <f t="shared" si="19"/>
        <v>1</v>
      </c>
      <c r="W49" s="18">
        <f>+D49-S49</f>
        <v>600000</v>
      </c>
      <c r="X49" s="19">
        <f t="shared" si="20"/>
        <v>1</v>
      </c>
      <c r="Y49" s="3"/>
      <c r="Z49" s="3"/>
      <c r="AA49" s="3"/>
      <c r="AB49" s="3"/>
      <c r="AC49" s="3"/>
      <c r="AD49" s="3"/>
      <c r="AE49" s="3"/>
      <c r="AF49" s="3"/>
    </row>
    <row r="50" spans="1:32" s="22" customFormat="1">
      <c r="A50" s="5"/>
      <c r="B50" s="88" t="s">
        <v>58</v>
      </c>
      <c r="C50" s="24" t="s">
        <v>59</v>
      </c>
      <c r="D50" s="9">
        <f t="shared" ref="D50:P50" si="22">SUM(D51)</f>
        <v>7000000</v>
      </c>
      <c r="E50" s="9">
        <f t="shared" si="22"/>
        <v>0</v>
      </c>
      <c r="F50" s="10">
        <f t="shared" si="22"/>
        <v>9295.49</v>
      </c>
      <c r="G50" s="10">
        <f t="shared" si="22"/>
        <v>1537079.27</v>
      </c>
      <c r="H50" s="10">
        <f t="shared" si="22"/>
        <v>1537095.96</v>
      </c>
      <c r="I50" s="10">
        <f t="shared" si="22"/>
        <v>1537095.96</v>
      </c>
      <c r="J50" s="10">
        <f t="shared" si="22"/>
        <v>1537095.92</v>
      </c>
      <c r="K50" s="10">
        <f t="shared" si="22"/>
        <v>387690.38</v>
      </c>
      <c r="L50" s="10">
        <f t="shared" si="22"/>
        <v>0</v>
      </c>
      <c r="M50" s="10">
        <f t="shared" si="22"/>
        <v>166559.47</v>
      </c>
      <c r="N50" s="10">
        <f>SUM(N51)</f>
        <v>0</v>
      </c>
      <c r="O50" s="10">
        <f t="shared" si="22"/>
        <v>94083.44</v>
      </c>
      <c r="P50" s="10">
        <f t="shared" si="22"/>
        <v>21116.3</v>
      </c>
      <c r="Q50" s="10">
        <f>+Q51</f>
        <v>20646.2</v>
      </c>
      <c r="R50" s="10">
        <f>+R51</f>
        <v>34926.83</v>
      </c>
      <c r="S50" s="11">
        <f>+S51</f>
        <v>55573.03</v>
      </c>
      <c r="T50" s="12">
        <f t="shared" si="17"/>
        <v>7.9390042857142851E-3</v>
      </c>
      <c r="U50" s="13">
        <f t="shared" si="18"/>
        <v>6944426.9699999997</v>
      </c>
      <c r="V50" s="14">
        <f t="shared" si="19"/>
        <v>0.99206099571428563</v>
      </c>
      <c r="W50" s="96">
        <f>+W51</f>
        <v>6944426.9699999997</v>
      </c>
      <c r="X50" s="97">
        <f t="shared" si="20"/>
        <v>0.99206099571428563</v>
      </c>
      <c r="Y50" s="3"/>
      <c r="Z50" s="3"/>
      <c r="AA50" s="3"/>
      <c r="AB50" s="3"/>
      <c r="AC50" s="3"/>
      <c r="AD50" s="3"/>
      <c r="AE50" s="3"/>
      <c r="AF50" s="3"/>
    </row>
    <row r="51" spans="1:32" s="22" customFormat="1" ht="15.75">
      <c r="A51" s="5"/>
      <c r="B51" s="69" t="s">
        <v>203</v>
      </c>
      <c r="C51" s="70" t="s">
        <v>60</v>
      </c>
      <c r="D51" s="72">
        <v>7000000</v>
      </c>
      <c r="E51" s="27">
        <v>0</v>
      </c>
      <c r="F51" s="27">
        <v>9295.49</v>
      </c>
      <c r="G51" s="27">
        <v>1537079.27</v>
      </c>
      <c r="H51" s="17">
        <v>1537095.96</v>
      </c>
      <c r="I51" s="27">
        <v>1537095.96</v>
      </c>
      <c r="J51" s="27">
        <v>1537095.92</v>
      </c>
      <c r="K51" s="27">
        <v>387690.38</v>
      </c>
      <c r="L51" s="27"/>
      <c r="M51" s="27">
        <v>166559.47</v>
      </c>
      <c r="N51" s="27"/>
      <c r="O51" s="27">
        <v>94083.44</v>
      </c>
      <c r="P51" s="27">
        <v>21116.3</v>
      </c>
      <c r="Q51" s="85">
        <v>20646.2</v>
      </c>
      <c r="R51" s="85">
        <v>34926.83</v>
      </c>
      <c r="S51" s="18">
        <f t="shared" si="8"/>
        <v>55573.03</v>
      </c>
      <c r="T51" s="19">
        <f t="shared" si="17"/>
        <v>7.9390042857142851E-3</v>
      </c>
      <c r="U51" s="20">
        <f t="shared" si="18"/>
        <v>6944426.9699999997</v>
      </c>
      <c r="V51" s="21">
        <f t="shared" si="19"/>
        <v>0.99206099571428563</v>
      </c>
      <c r="W51" s="18">
        <f>+D51-S51</f>
        <v>6944426.9699999997</v>
      </c>
      <c r="X51" s="19">
        <f t="shared" si="20"/>
        <v>0.99206099571428563</v>
      </c>
      <c r="Y51" s="3"/>
      <c r="Z51" s="3"/>
      <c r="AA51" s="3"/>
      <c r="AB51" s="3"/>
      <c r="AC51" s="3"/>
      <c r="AD51" s="3"/>
      <c r="AE51" s="3"/>
      <c r="AF51" s="3"/>
    </row>
    <row r="52" spans="1:32" s="22" customFormat="1">
      <c r="A52" s="5"/>
      <c r="B52" s="88" t="s">
        <v>61</v>
      </c>
      <c r="C52" s="24" t="s">
        <v>62</v>
      </c>
      <c r="D52" s="9">
        <f t="shared" ref="D52:P52" si="23">SUM(D53:D60)</f>
        <v>6520402.7300000004</v>
      </c>
      <c r="E52" s="9">
        <f>SUM(E53:E60)</f>
        <v>543366.89416666667</v>
      </c>
      <c r="F52" s="10">
        <f t="shared" si="23"/>
        <v>64600</v>
      </c>
      <c r="G52" s="10">
        <f t="shared" si="23"/>
        <v>1100293.1000000001</v>
      </c>
      <c r="H52" s="10">
        <f t="shared" si="23"/>
        <v>524632.46</v>
      </c>
      <c r="I52" s="10">
        <f t="shared" si="23"/>
        <v>697511.86</v>
      </c>
      <c r="J52" s="10">
        <f t="shared" si="23"/>
        <v>1688087.97</v>
      </c>
      <c r="K52" s="10">
        <f t="shared" si="23"/>
        <v>765563.58</v>
      </c>
      <c r="L52" s="10">
        <f t="shared" si="23"/>
        <v>863764</v>
      </c>
      <c r="M52" s="10">
        <f t="shared" si="23"/>
        <v>1018473.34</v>
      </c>
      <c r="N52" s="10">
        <f t="shared" si="23"/>
        <v>1537207.34</v>
      </c>
      <c r="O52" s="10">
        <f t="shared" si="23"/>
        <v>539592.66</v>
      </c>
      <c r="P52" s="10">
        <f t="shared" si="23"/>
        <v>817951.32</v>
      </c>
      <c r="Q52" s="10">
        <f>+Q53+Q55+Q56+Q57+Q58+Q59+Q60</f>
        <v>20128.489999999998</v>
      </c>
      <c r="R52" s="10">
        <f>+R53+R55+R56+R57+R58+R59+R60</f>
        <v>117024.3</v>
      </c>
      <c r="S52" s="11">
        <f>SUM(S53:S60)</f>
        <v>137152.79</v>
      </c>
      <c r="T52" s="12">
        <f t="shared" si="17"/>
        <v>2.1034404726101942E-2</v>
      </c>
      <c r="U52" s="13">
        <f t="shared" si="18"/>
        <v>6383249.9400000004</v>
      </c>
      <c r="V52" s="14">
        <f t="shared" si="19"/>
        <v>0.97896559527389804</v>
      </c>
      <c r="W52" s="96">
        <f>+W53+W55+W60</f>
        <v>4926445.2799999993</v>
      </c>
      <c r="X52" s="97">
        <f t="shared" si="20"/>
        <v>0.75554309817915177</v>
      </c>
      <c r="Y52" s="3"/>
      <c r="Z52" s="3"/>
      <c r="AA52" s="3"/>
      <c r="AB52" s="3"/>
      <c r="AC52" s="3"/>
      <c r="AD52" s="3"/>
      <c r="AE52" s="3"/>
      <c r="AF52" s="3"/>
    </row>
    <row r="53" spans="1:32" s="30" customFormat="1" ht="15.75">
      <c r="A53" s="5"/>
      <c r="B53" s="73" t="s">
        <v>204</v>
      </c>
      <c r="C53" s="74" t="s">
        <v>63</v>
      </c>
      <c r="D53" s="72">
        <v>2445402.73</v>
      </c>
      <c r="E53" s="17">
        <f t="shared" ref="E53:E60" si="24">+D53/12</f>
        <v>203783.56083333332</v>
      </c>
      <c r="F53" s="17"/>
      <c r="G53" s="17">
        <v>1090128.1000000001</v>
      </c>
      <c r="H53" s="17">
        <v>523957.46</v>
      </c>
      <c r="I53" s="17">
        <v>697511.86</v>
      </c>
      <c r="J53" s="17">
        <v>1669562.67</v>
      </c>
      <c r="K53" s="17">
        <v>611199.57999999996</v>
      </c>
      <c r="L53" s="17">
        <v>861264</v>
      </c>
      <c r="M53" s="17">
        <v>1016303.32</v>
      </c>
      <c r="N53" s="17">
        <v>1532003.54</v>
      </c>
      <c r="O53" s="17">
        <v>539592.66</v>
      </c>
      <c r="P53" s="17">
        <v>817951.32</v>
      </c>
      <c r="Q53" s="17">
        <v>0</v>
      </c>
      <c r="R53" s="17">
        <v>0</v>
      </c>
      <c r="S53" s="18">
        <f t="shared" si="8"/>
        <v>0</v>
      </c>
      <c r="T53" s="19">
        <f t="shared" si="17"/>
        <v>0</v>
      </c>
      <c r="U53" s="20">
        <f t="shared" si="18"/>
        <v>2445402.73</v>
      </c>
      <c r="V53" s="21">
        <f t="shared" si="19"/>
        <v>1</v>
      </c>
      <c r="W53" s="18">
        <f t="shared" ref="W53:W60" si="25">+D53-S53</f>
        <v>2445402.73</v>
      </c>
      <c r="X53" s="19">
        <f t="shared" si="20"/>
        <v>1</v>
      </c>
      <c r="Y53" s="29"/>
      <c r="Z53" s="29"/>
      <c r="AA53" s="29"/>
      <c r="AB53" s="29"/>
      <c r="AC53" s="29"/>
      <c r="AD53" s="29"/>
      <c r="AE53" s="29"/>
      <c r="AF53" s="29"/>
    </row>
    <row r="54" spans="1:32" s="22" customFormat="1" ht="31.5" hidden="1">
      <c r="A54" s="5"/>
      <c r="B54" s="73" t="s">
        <v>205</v>
      </c>
      <c r="C54" s="75" t="s">
        <v>64</v>
      </c>
      <c r="D54" s="72">
        <v>100000</v>
      </c>
      <c r="E54" s="17">
        <f t="shared" si="24"/>
        <v>8333.3333333333339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8">
        <f t="shared" si="8"/>
        <v>0</v>
      </c>
      <c r="T54" s="19">
        <f t="shared" si="17"/>
        <v>0</v>
      </c>
      <c r="U54" s="20">
        <f t="shared" si="18"/>
        <v>100000</v>
      </c>
      <c r="V54" s="21">
        <f t="shared" si="19"/>
        <v>1</v>
      </c>
      <c r="W54" s="18">
        <f t="shared" si="25"/>
        <v>100000</v>
      </c>
      <c r="X54" s="19">
        <f t="shared" si="20"/>
        <v>1</v>
      </c>
      <c r="Y54" s="3"/>
      <c r="Z54" s="3"/>
      <c r="AA54" s="3"/>
      <c r="AB54" s="3"/>
      <c r="AC54" s="3"/>
      <c r="AD54" s="3"/>
      <c r="AE54" s="3"/>
      <c r="AF54" s="3"/>
    </row>
    <row r="55" spans="1:32" s="22" customFormat="1" ht="31.5">
      <c r="A55" s="5"/>
      <c r="B55" s="73" t="s">
        <v>255</v>
      </c>
      <c r="C55" s="75" t="s">
        <v>256</v>
      </c>
      <c r="D55" s="72">
        <v>0</v>
      </c>
      <c r="E55" s="17">
        <v>0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86">
        <v>0</v>
      </c>
      <c r="R55" s="86">
        <v>0</v>
      </c>
      <c r="S55" s="18">
        <f t="shared" si="8"/>
        <v>0</v>
      </c>
      <c r="T55" s="19">
        <v>0</v>
      </c>
      <c r="U55" s="20">
        <f t="shared" si="18"/>
        <v>0</v>
      </c>
      <c r="V55" s="21" t="e">
        <f t="shared" si="19"/>
        <v>#DIV/0!</v>
      </c>
      <c r="W55" s="18">
        <f t="shared" si="25"/>
        <v>0</v>
      </c>
      <c r="X55" s="19" t="e">
        <f t="shared" si="20"/>
        <v>#DIV/0!</v>
      </c>
      <c r="Y55" s="3"/>
      <c r="Z55" s="3"/>
      <c r="AA55" s="3"/>
      <c r="AB55" s="3"/>
      <c r="AC55" s="3"/>
      <c r="AD55" s="3"/>
      <c r="AE55" s="3"/>
      <c r="AF55" s="3"/>
    </row>
    <row r="56" spans="1:32" s="22" customFormat="1" ht="15.75">
      <c r="A56" s="5"/>
      <c r="B56" s="73" t="s">
        <v>206</v>
      </c>
      <c r="C56" s="74" t="s">
        <v>65</v>
      </c>
      <c r="D56" s="72">
        <v>300000</v>
      </c>
      <c r="E56" s="17">
        <f t="shared" si="24"/>
        <v>25000</v>
      </c>
      <c r="F56" s="16">
        <v>64600</v>
      </c>
      <c r="G56" s="16"/>
      <c r="H56" s="16">
        <v>675</v>
      </c>
      <c r="I56" s="16"/>
      <c r="J56" s="16">
        <v>18525.3</v>
      </c>
      <c r="K56" s="16">
        <v>96426</v>
      </c>
      <c r="L56" s="16">
        <v>2500</v>
      </c>
      <c r="M56" s="16">
        <v>2170.02</v>
      </c>
      <c r="N56" s="16">
        <v>4495.8</v>
      </c>
      <c r="O56" s="16"/>
      <c r="P56" s="16"/>
      <c r="Q56" s="16">
        <v>0</v>
      </c>
      <c r="R56" s="16">
        <v>0</v>
      </c>
      <c r="S56" s="18">
        <f t="shared" si="8"/>
        <v>0</v>
      </c>
      <c r="T56" s="19">
        <f t="shared" ref="T56:T61" si="26">+S56/D56</f>
        <v>0</v>
      </c>
      <c r="U56" s="20">
        <f t="shared" si="18"/>
        <v>300000</v>
      </c>
      <c r="V56" s="21">
        <f t="shared" si="19"/>
        <v>1</v>
      </c>
      <c r="W56" s="18">
        <f t="shared" si="25"/>
        <v>300000</v>
      </c>
      <c r="X56" s="19">
        <f t="shared" si="20"/>
        <v>1</v>
      </c>
      <c r="Y56" s="3"/>
      <c r="Z56" s="3"/>
      <c r="AA56" s="3"/>
      <c r="AB56" s="3"/>
      <c r="AC56" s="3"/>
      <c r="AD56" s="3"/>
      <c r="AE56" s="3"/>
      <c r="AF56" s="3"/>
    </row>
    <row r="57" spans="1:32" s="22" customFormat="1" ht="15.75">
      <c r="A57" s="5"/>
      <c r="B57" s="73" t="s">
        <v>207</v>
      </c>
      <c r="C57" s="74" t="s">
        <v>66</v>
      </c>
      <c r="D57" s="72">
        <v>550000</v>
      </c>
      <c r="E57" s="17">
        <f t="shared" si="24"/>
        <v>45833.333333333336</v>
      </c>
      <c r="F57" s="16"/>
      <c r="G57" s="16">
        <v>10165</v>
      </c>
      <c r="H57" s="16"/>
      <c r="I57" s="16"/>
      <c r="J57" s="16"/>
      <c r="K57" s="16"/>
      <c r="L57" s="16"/>
      <c r="M57" s="16"/>
      <c r="N57" s="16">
        <v>708</v>
      </c>
      <c r="O57" s="16"/>
      <c r="P57" s="16"/>
      <c r="Q57" s="16">
        <v>0</v>
      </c>
      <c r="R57" s="16">
        <v>0</v>
      </c>
      <c r="S57" s="18">
        <f t="shared" si="8"/>
        <v>0</v>
      </c>
      <c r="T57" s="19">
        <f t="shared" si="26"/>
        <v>0</v>
      </c>
      <c r="U57" s="20">
        <f t="shared" si="18"/>
        <v>550000</v>
      </c>
      <c r="V57" s="21">
        <f t="shared" si="19"/>
        <v>1</v>
      </c>
      <c r="W57" s="18">
        <f t="shared" si="25"/>
        <v>550000</v>
      </c>
      <c r="X57" s="19">
        <f t="shared" si="20"/>
        <v>1</v>
      </c>
      <c r="Y57" s="3"/>
      <c r="Z57" s="3"/>
      <c r="AA57" s="3"/>
      <c r="AB57" s="3"/>
      <c r="AC57" s="3"/>
      <c r="AD57" s="3"/>
      <c r="AE57" s="3"/>
      <c r="AF57" s="3"/>
    </row>
    <row r="58" spans="1:32" s="22" customFormat="1" ht="15.75">
      <c r="A58" s="5"/>
      <c r="B58" s="73" t="s">
        <v>208</v>
      </c>
      <c r="C58" s="74" t="s">
        <v>67</v>
      </c>
      <c r="D58" s="72">
        <v>500000</v>
      </c>
      <c r="E58" s="17">
        <f t="shared" si="24"/>
        <v>41666.666666666664</v>
      </c>
      <c r="F58" s="16"/>
      <c r="G58" s="16"/>
      <c r="H58" s="16"/>
      <c r="I58" s="16"/>
      <c r="J58" s="16"/>
      <c r="K58" s="16">
        <v>57938</v>
      </c>
      <c r="L58" s="16"/>
      <c r="M58" s="16"/>
      <c r="N58" s="16"/>
      <c r="O58" s="16"/>
      <c r="P58" s="16"/>
      <c r="Q58" s="86">
        <f>2950+5015.34</f>
        <v>7965.34</v>
      </c>
      <c r="R58" s="86">
        <f>104430+5800</f>
        <v>110230</v>
      </c>
      <c r="S58" s="18">
        <f t="shared" si="8"/>
        <v>118195.34</v>
      </c>
      <c r="T58" s="19">
        <f t="shared" si="26"/>
        <v>0.23639067999999999</v>
      </c>
      <c r="U58" s="20">
        <f t="shared" si="18"/>
        <v>381804.66000000003</v>
      </c>
      <c r="V58" s="21">
        <f t="shared" si="19"/>
        <v>0.76360932000000004</v>
      </c>
      <c r="W58" s="18">
        <f t="shared" si="25"/>
        <v>381804.66000000003</v>
      </c>
      <c r="X58" s="19">
        <f t="shared" si="20"/>
        <v>0.76360932000000004</v>
      </c>
      <c r="Y58" s="3"/>
      <c r="Z58" s="3"/>
      <c r="AA58" s="3"/>
      <c r="AB58" s="3"/>
      <c r="AC58" s="3"/>
      <c r="AD58" s="3"/>
      <c r="AE58" s="3"/>
      <c r="AF58" s="3"/>
    </row>
    <row r="59" spans="1:32" s="22" customFormat="1" ht="15.75">
      <c r="A59" s="5"/>
      <c r="B59" s="73" t="s">
        <v>209</v>
      </c>
      <c r="C59" s="74" t="s">
        <v>68</v>
      </c>
      <c r="D59" s="72">
        <v>125000</v>
      </c>
      <c r="E59" s="17">
        <f t="shared" si="24"/>
        <v>10416.666666666666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>
        <v>0</v>
      </c>
      <c r="R59" s="16">
        <v>0</v>
      </c>
      <c r="S59" s="18">
        <f t="shared" si="8"/>
        <v>0</v>
      </c>
      <c r="T59" s="19">
        <f t="shared" si="26"/>
        <v>0</v>
      </c>
      <c r="U59" s="20"/>
      <c r="V59" s="21"/>
      <c r="W59" s="18">
        <f t="shared" si="25"/>
        <v>125000</v>
      </c>
      <c r="X59" s="19">
        <f t="shared" si="20"/>
        <v>1</v>
      </c>
      <c r="Y59" s="3"/>
      <c r="Z59" s="3"/>
      <c r="AA59" s="3"/>
      <c r="AB59" s="3"/>
      <c r="AC59" s="3"/>
      <c r="AD59" s="3"/>
      <c r="AE59" s="3"/>
      <c r="AF59" s="3"/>
    </row>
    <row r="60" spans="1:32" s="22" customFormat="1" ht="15.75">
      <c r="A60" s="5"/>
      <c r="B60" s="73" t="s">
        <v>210</v>
      </c>
      <c r="C60" s="74" t="s">
        <v>211</v>
      </c>
      <c r="D60" s="72">
        <v>2500000</v>
      </c>
      <c r="E60" s="17">
        <f t="shared" si="24"/>
        <v>208333.33333333334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86">
        <v>12163.15</v>
      </c>
      <c r="R60" s="86">
        <v>6794.3</v>
      </c>
      <c r="S60" s="18">
        <f t="shared" si="8"/>
        <v>18957.45</v>
      </c>
      <c r="T60" s="19">
        <f t="shared" si="26"/>
        <v>7.5829800000000004E-3</v>
      </c>
      <c r="U60" s="20">
        <f>+D60-S60</f>
        <v>2481042.5499999998</v>
      </c>
      <c r="V60" s="21">
        <f>+U60/D60</f>
        <v>0.99241701999999987</v>
      </c>
      <c r="W60" s="18">
        <f t="shared" si="25"/>
        <v>2481042.5499999998</v>
      </c>
      <c r="X60" s="19">
        <f t="shared" si="20"/>
        <v>0.99241701999999987</v>
      </c>
      <c r="Y60" s="3"/>
      <c r="Z60" s="3"/>
      <c r="AA60" s="3"/>
      <c r="AB60" s="3"/>
      <c r="AC60" s="3"/>
      <c r="AD60" s="3"/>
      <c r="AE60" s="3"/>
      <c r="AF60" s="3"/>
    </row>
    <row r="61" spans="1:32">
      <c r="A61" s="5"/>
      <c r="B61" s="88" t="s">
        <v>69</v>
      </c>
      <c r="C61" s="24" t="s">
        <v>70</v>
      </c>
      <c r="D61" s="9">
        <f>SUM(D63:D72)</f>
        <v>13383000</v>
      </c>
      <c r="E61" s="9">
        <f t="shared" ref="E61:M61" si="27">SUM(E64:E72)</f>
        <v>606916.66666666674</v>
      </c>
      <c r="F61" s="10">
        <f t="shared" si="27"/>
        <v>225888.18</v>
      </c>
      <c r="G61" s="10">
        <f t="shared" si="27"/>
        <v>154377.47</v>
      </c>
      <c r="H61" s="10">
        <f t="shared" si="27"/>
        <v>132348.85999999999</v>
      </c>
      <c r="I61" s="10">
        <f t="shared" si="27"/>
        <v>463397.63999999996</v>
      </c>
      <c r="J61" s="10">
        <f t="shared" si="27"/>
        <v>823424.65</v>
      </c>
      <c r="K61" s="10">
        <f t="shared" si="27"/>
        <v>830003.01</v>
      </c>
      <c r="L61" s="10">
        <f t="shared" si="27"/>
        <v>136909.06</v>
      </c>
      <c r="M61" s="10">
        <f t="shared" si="27"/>
        <v>1039509.3</v>
      </c>
      <c r="N61" s="10">
        <f>SUM(N62:N72)</f>
        <v>112478.67</v>
      </c>
      <c r="O61" s="10">
        <f>SUM(O64:O72)</f>
        <v>102731.34</v>
      </c>
      <c r="P61" s="10">
        <f>SUM(P64:P72)</f>
        <v>110597.85</v>
      </c>
      <c r="Q61" s="10">
        <f>+Q63+Q64+Q65+Q66+Q67+Q68+Q69+Q70+Q71+Q72</f>
        <v>5924428.9199999999</v>
      </c>
      <c r="R61" s="10">
        <f>+R63+R64+R65+R66+R67+R68+R69+R70+R71+R72</f>
        <v>822935.71000000008</v>
      </c>
      <c r="S61" s="11">
        <f>SUM(S63:S72)</f>
        <v>6747364.6300000008</v>
      </c>
      <c r="T61" s="12">
        <f t="shared" si="26"/>
        <v>0.50417429798998736</v>
      </c>
      <c r="U61" s="13">
        <f>+D61-S61</f>
        <v>6635635.3699999992</v>
      </c>
      <c r="V61" s="14">
        <f>+U61/D61</f>
        <v>0.49582570201001264</v>
      </c>
      <c r="W61" s="96">
        <f>+W63+W64+W66+W69+W70+W72</f>
        <v>6325036.5999999996</v>
      </c>
      <c r="X61" s="97">
        <f t="shared" si="20"/>
        <v>0.47261724575954567</v>
      </c>
      <c r="Y61" s="3"/>
      <c r="Z61" s="3"/>
      <c r="AA61" s="3"/>
      <c r="AB61" s="3"/>
      <c r="AC61" s="3"/>
      <c r="AD61" s="3"/>
      <c r="AE61" s="3"/>
      <c r="AF61" s="3"/>
    </row>
    <row r="62" spans="1:32" hidden="1">
      <c r="A62" s="5"/>
      <c r="B62" s="40" t="s">
        <v>71</v>
      </c>
      <c r="C62" s="28" t="s">
        <v>72</v>
      </c>
      <c r="D62" s="16">
        <v>0</v>
      </c>
      <c r="E62" s="17">
        <v>0</v>
      </c>
      <c r="F62" s="17"/>
      <c r="G62" s="17"/>
      <c r="H62" s="17"/>
      <c r="I62" s="17"/>
      <c r="J62" s="17"/>
      <c r="K62" s="17"/>
      <c r="L62" s="17"/>
      <c r="M62" s="17"/>
      <c r="N62" s="17">
        <v>0</v>
      </c>
      <c r="O62" s="17"/>
      <c r="P62" s="17"/>
      <c r="Q62" s="17"/>
      <c r="R62" s="17"/>
      <c r="S62" s="26"/>
      <c r="T62" s="26"/>
      <c r="U62" s="16">
        <v>0</v>
      </c>
      <c r="V62" s="16"/>
      <c r="W62" s="26"/>
      <c r="X62" s="26"/>
      <c r="Y62" s="3"/>
      <c r="Z62" s="3"/>
      <c r="AA62" s="3"/>
      <c r="AB62" s="3"/>
      <c r="AC62" s="3"/>
      <c r="AD62" s="3"/>
      <c r="AE62" s="3"/>
      <c r="AF62" s="3"/>
    </row>
    <row r="63" spans="1:32" ht="15.75">
      <c r="A63" s="5"/>
      <c r="B63" s="69" t="s">
        <v>257</v>
      </c>
      <c r="C63" s="74" t="s">
        <v>72</v>
      </c>
      <c r="D63" s="72">
        <v>50000</v>
      </c>
      <c r="E63" s="17">
        <v>0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83">
        <f>10000+12900</f>
        <v>22900</v>
      </c>
      <c r="R63" s="83">
        <v>0</v>
      </c>
      <c r="S63" s="18">
        <f t="shared" ref="S63:S72" si="28">+Q63+R63</f>
        <v>22900</v>
      </c>
      <c r="T63" s="19">
        <f>+S63/D63</f>
        <v>0.45800000000000002</v>
      </c>
      <c r="U63" s="16"/>
      <c r="V63" s="16"/>
      <c r="W63" s="18">
        <f>+D63-S63</f>
        <v>27100</v>
      </c>
      <c r="X63" s="19">
        <f>+W63/D63</f>
        <v>0.54200000000000004</v>
      </c>
      <c r="Y63" s="3"/>
      <c r="Z63" s="3"/>
      <c r="AA63" s="3"/>
      <c r="AB63" s="3"/>
      <c r="AC63" s="3"/>
      <c r="AD63" s="3"/>
      <c r="AE63" s="3"/>
      <c r="AF63" s="3"/>
    </row>
    <row r="64" spans="1:32" ht="15.75">
      <c r="A64" s="5"/>
      <c r="B64" s="69" t="s">
        <v>212</v>
      </c>
      <c r="C64" s="74" t="s">
        <v>73</v>
      </c>
      <c r="D64" s="72">
        <v>850000</v>
      </c>
      <c r="E64" s="17">
        <f t="shared" ref="E64:E72" si="29">+D64/12</f>
        <v>70833.333333333328</v>
      </c>
      <c r="F64" s="17">
        <v>134559.29999999999</v>
      </c>
      <c r="G64" s="17">
        <v>103973.05</v>
      </c>
      <c r="H64" s="17">
        <v>93081.12</v>
      </c>
      <c r="I64" s="17">
        <v>85994.04</v>
      </c>
      <c r="J64" s="17">
        <v>83589.42</v>
      </c>
      <c r="K64" s="17">
        <v>93194.31</v>
      </c>
      <c r="L64" s="17">
        <v>126974.58</v>
      </c>
      <c r="M64" s="17">
        <v>105244.88</v>
      </c>
      <c r="N64" s="17">
        <f>20300+84301.28</f>
        <v>104601.28</v>
      </c>
      <c r="O64" s="17">
        <v>96562.66</v>
      </c>
      <c r="P64" s="17">
        <v>92709.440000000002</v>
      </c>
      <c r="Q64" s="17">
        <v>135134.20000000001</v>
      </c>
      <c r="R64" s="17">
        <v>95184.2</v>
      </c>
      <c r="S64" s="18">
        <f t="shared" si="28"/>
        <v>230318.40000000002</v>
      </c>
      <c r="T64" s="19">
        <f>+S64/D64</f>
        <v>0.27096282352941181</v>
      </c>
      <c r="U64" s="20">
        <f>+D64-S64</f>
        <v>619681.6</v>
      </c>
      <c r="V64" s="21">
        <f>+U64/D64</f>
        <v>0.72903717647058819</v>
      </c>
      <c r="W64" s="18">
        <f>+D64-S64</f>
        <v>619681.6</v>
      </c>
      <c r="X64" s="19">
        <f>+W64/D64</f>
        <v>0.72903717647058819</v>
      </c>
      <c r="Y64" s="3"/>
      <c r="Z64" s="3"/>
      <c r="AA64" s="3"/>
      <c r="AB64" s="3"/>
      <c r="AC64" s="3"/>
      <c r="AD64" s="3"/>
      <c r="AE64" s="3"/>
      <c r="AF64" s="3"/>
    </row>
    <row r="65" spans="1:32" ht="15.75">
      <c r="A65" s="5"/>
      <c r="B65" s="69" t="s">
        <v>287</v>
      </c>
      <c r="C65" s="74" t="s">
        <v>286</v>
      </c>
      <c r="D65" s="72">
        <v>50000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>
        <v>0</v>
      </c>
      <c r="R65" s="17">
        <v>12093</v>
      </c>
      <c r="S65" s="18">
        <f t="shared" si="28"/>
        <v>12093</v>
      </c>
      <c r="T65" s="19"/>
      <c r="U65" s="20"/>
      <c r="V65" s="21"/>
      <c r="W65" s="18"/>
      <c r="X65" s="19"/>
      <c r="Y65" s="3"/>
      <c r="Z65" s="3"/>
      <c r="AA65" s="3"/>
      <c r="AB65" s="3"/>
      <c r="AC65" s="3"/>
      <c r="AD65" s="3"/>
      <c r="AE65" s="3"/>
      <c r="AF65" s="3"/>
    </row>
    <row r="66" spans="1:32" ht="15.75">
      <c r="A66" s="5"/>
      <c r="B66" s="69" t="s">
        <v>213</v>
      </c>
      <c r="C66" s="74" t="s">
        <v>74</v>
      </c>
      <c r="D66" s="72">
        <v>50000</v>
      </c>
      <c r="E66" s="17">
        <f t="shared" si="29"/>
        <v>4166.666666666667</v>
      </c>
      <c r="F66" s="17"/>
      <c r="G66" s="17">
        <v>46279.6</v>
      </c>
      <c r="H66" s="17"/>
      <c r="I66" s="17"/>
      <c r="J66" s="17"/>
      <c r="K66" s="17"/>
      <c r="L66" s="17"/>
      <c r="M66" s="17"/>
      <c r="N66" s="17"/>
      <c r="O66" s="17"/>
      <c r="P66" s="17"/>
      <c r="Q66" s="17">
        <v>0</v>
      </c>
      <c r="R66" s="17">
        <v>0</v>
      </c>
      <c r="S66" s="18">
        <f t="shared" si="28"/>
        <v>0</v>
      </c>
      <c r="T66" s="19">
        <f t="shared" ref="T66:T72" si="30">+S66/D66</f>
        <v>0</v>
      </c>
      <c r="U66" s="20">
        <f>+D66-S66</f>
        <v>50000</v>
      </c>
      <c r="V66" s="21">
        <f>+U66/D66</f>
        <v>1</v>
      </c>
      <c r="W66" s="18">
        <f t="shared" ref="W66:W72" si="31">+D66-S66</f>
        <v>50000</v>
      </c>
      <c r="X66" s="19">
        <f t="shared" ref="X66:X72" si="32">+W66/D66</f>
        <v>1</v>
      </c>
      <c r="Y66" s="3"/>
      <c r="Z66" s="3"/>
      <c r="AA66" s="3"/>
      <c r="AB66" s="3"/>
      <c r="AC66" s="3"/>
      <c r="AD66" s="3"/>
      <c r="AE66" s="3"/>
      <c r="AF66" s="3"/>
    </row>
    <row r="67" spans="1:32" s="3" customFormat="1" ht="15.75">
      <c r="A67" s="5"/>
      <c r="B67" s="69" t="s">
        <v>270</v>
      </c>
      <c r="C67" s="74" t="s">
        <v>271</v>
      </c>
      <c r="D67" s="72">
        <v>250000</v>
      </c>
      <c r="E67" s="17">
        <f t="shared" si="29"/>
        <v>20833.333333333332</v>
      </c>
      <c r="F67" s="17">
        <v>5188.88</v>
      </c>
      <c r="G67" s="17">
        <v>4124.82</v>
      </c>
      <c r="H67" s="17">
        <v>39267.74</v>
      </c>
      <c r="I67" s="17">
        <v>5709.5</v>
      </c>
      <c r="J67" s="17">
        <v>1273.23</v>
      </c>
      <c r="K67" s="17">
        <v>3185</v>
      </c>
      <c r="L67" s="17">
        <v>9934.48</v>
      </c>
      <c r="M67" s="17">
        <v>2969.75</v>
      </c>
      <c r="N67" s="17">
        <v>7877.39</v>
      </c>
      <c r="O67" s="17">
        <v>6168.68</v>
      </c>
      <c r="P67" s="17">
        <v>17888.41</v>
      </c>
      <c r="Q67" s="83">
        <v>88028</v>
      </c>
      <c r="R67" s="83">
        <v>0</v>
      </c>
      <c r="S67" s="18">
        <f t="shared" si="28"/>
        <v>88028</v>
      </c>
      <c r="T67" s="19">
        <f t="shared" si="30"/>
        <v>0.35211199999999998</v>
      </c>
      <c r="U67" s="20">
        <f>+D67-S67</f>
        <v>161972</v>
      </c>
      <c r="V67" s="21">
        <f>+U67/D67</f>
        <v>0.64788800000000002</v>
      </c>
      <c r="W67" s="18">
        <f t="shared" si="31"/>
        <v>161972</v>
      </c>
      <c r="X67" s="19">
        <f t="shared" si="32"/>
        <v>0.64788800000000002</v>
      </c>
    </row>
    <row r="68" spans="1:32" s="3" customFormat="1" ht="15.75">
      <c r="A68" s="5"/>
      <c r="B68" s="69" t="s">
        <v>214</v>
      </c>
      <c r="C68" s="74" t="s">
        <v>75</v>
      </c>
      <c r="D68" s="72">
        <v>125000</v>
      </c>
      <c r="E68" s="17">
        <f>+D68/12</f>
        <v>10416.666666666666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83">
        <v>7121.72</v>
      </c>
      <c r="R68" s="83">
        <v>7237.85</v>
      </c>
      <c r="S68" s="18">
        <f t="shared" si="28"/>
        <v>14359.57</v>
      </c>
      <c r="T68" s="19">
        <f t="shared" si="30"/>
        <v>0.11487656</v>
      </c>
      <c r="U68" s="20"/>
      <c r="V68" s="21"/>
      <c r="W68" s="18">
        <f t="shared" si="31"/>
        <v>110640.43</v>
      </c>
      <c r="X68" s="19">
        <f t="shared" si="32"/>
        <v>0.88512343999999998</v>
      </c>
    </row>
    <row r="69" spans="1:32" s="3" customFormat="1" ht="15.75">
      <c r="A69" s="5"/>
      <c r="B69" s="69" t="s">
        <v>258</v>
      </c>
      <c r="C69" s="74" t="s">
        <v>259</v>
      </c>
      <c r="D69" s="72">
        <v>6000000</v>
      </c>
      <c r="E69" s="17">
        <v>0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83">
        <v>2375635</v>
      </c>
      <c r="R69" s="83">
        <v>0</v>
      </c>
      <c r="S69" s="18">
        <f t="shared" si="28"/>
        <v>2375635</v>
      </c>
      <c r="T69" s="19">
        <f t="shared" si="30"/>
        <v>0.39593916666666668</v>
      </c>
      <c r="U69" s="20"/>
      <c r="V69" s="21"/>
      <c r="W69" s="18">
        <f t="shared" si="31"/>
        <v>3624365</v>
      </c>
      <c r="X69" s="19">
        <f t="shared" si="32"/>
        <v>0.60406083333333338</v>
      </c>
    </row>
    <row r="70" spans="1:32" s="3" customFormat="1" ht="15.75">
      <c r="A70" s="5"/>
      <c r="B70" s="69" t="s">
        <v>215</v>
      </c>
      <c r="C70" s="74" t="s">
        <v>76</v>
      </c>
      <c r="D70" s="72">
        <v>300000</v>
      </c>
      <c r="E70" s="17">
        <f t="shared" si="29"/>
        <v>25000</v>
      </c>
      <c r="F70" s="17">
        <v>86140</v>
      </c>
      <c r="G70" s="17"/>
      <c r="H70" s="17"/>
      <c r="I70" s="17">
        <v>371694.1</v>
      </c>
      <c r="J70" s="17">
        <v>738562</v>
      </c>
      <c r="K70" s="17">
        <v>733623.7</v>
      </c>
      <c r="L70" s="17"/>
      <c r="M70" s="17">
        <v>931294.67</v>
      </c>
      <c r="N70" s="17"/>
      <c r="O70" s="17"/>
      <c r="P70" s="17"/>
      <c r="Q70" s="85">
        <v>0</v>
      </c>
      <c r="R70" s="85">
        <v>1500</v>
      </c>
      <c r="S70" s="18">
        <f t="shared" si="28"/>
        <v>1500</v>
      </c>
      <c r="T70" s="19">
        <f t="shared" si="30"/>
        <v>5.0000000000000001E-3</v>
      </c>
      <c r="U70" s="20"/>
      <c r="V70" s="21"/>
      <c r="W70" s="18">
        <f t="shared" si="31"/>
        <v>298500</v>
      </c>
      <c r="X70" s="19">
        <f t="shared" si="32"/>
        <v>0.995</v>
      </c>
    </row>
    <row r="71" spans="1:32" s="3" customFormat="1" ht="15.75">
      <c r="A71" s="5"/>
      <c r="B71" s="69" t="s">
        <v>260</v>
      </c>
      <c r="C71" s="74" t="s">
        <v>261</v>
      </c>
      <c r="D71" s="72">
        <v>708000</v>
      </c>
      <c r="E71" s="17">
        <f t="shared" ref="E71" si="33">+D71/12</f>
        <v>59000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83">
        <v>1000</v>
      </c>
      <c r="R71" s="83">
        <v>706920.66</v>
      </c>
      <c r="S71" s="18">
        <f t="shared" si="28"/>
        <v>707920.66</v>
      </c>
      <c r="T71" s="19">
        <f t="shared" si="30"/>
        <v>0.99988793785310737</v>
      </c>
      <c r="U71" s="20"/>
      <c r="V71" s="21"/>
      <c r="W71" s="18">
        <f t="shared" si="31"/>
        <v>79.339999999967404</v>
      </c>
      <c r="X71" s="19">
        <f t="shared" si="32"/>
        <v>1.1206214689260932E-4</v>
      </c>
    </row>
    <row r="72" spans="1:32" s="3" customFormat="1" ht="15.75">
      <c r="A72" s="5"/>
      <c r="B72" s="69" t="s">
        <v>272</v>
      </c>
      <c r="C72" s="74" t="s">
        <v>273</v>
      </c>
      <c r="D72" s="72">
        <v>5000000</v>
      </c>
      <c r="E72" s="17">
        <f t="shared" si="29"/>
        <v>416666.66666666669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>
        <v>3294610</v>
      </c>
      <c r="R72" s="17">
        <v>0</v>
      </c>
      <c r="S72" s="18">
        <f t="shared" si="28"/>
        <v>3294610</v>
      </c>
      <c r="T72" s="19">
        <f t="shared" si="30"/>
        <v>0.65892200000000001</v>
      </c>
      <c r="U72" s="20">
        <f>+D72-S72</f>
        <v>1705390</v>
      </c>
      <c r="V72" s="21">
        <f>+U72/D72</f>
        <v>0.34107799999999999</v>
      </c>
      <c r="W72" s="18">
        <f t="shared" si="31"/>
        <v>1705390</v>
      </c>
      <c r="X72" s="19">
        <f t="shared" si="32"/>
        <v>0.34107799999999999</v>
      </c>
    </row>
    <row r="73" spans="1:32" s="3" customFormat="1" ht="30" hidden="1">
      <c r="A73" s="5"/>
      <c r="B73" s="90" t="s">
        <v>77</v>
      </c>
      <c r="C73" s="31" t="s">
        <v>78</v>
      </c>
      <c r="D73" s="16">
        <v>0</v>
      </c>
      <c r="E73" s="17">
        <v>0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26"/>
      <c r="T73" s="26"/>
      <c r="U73" s="16">
        <v>0</v>
      </c>
      <c r="V73" s="16"/>
      <c r="W73" s="26"/>
      <c r="X73" s="26"/>
    </row>
    <row r="74" spans="1:32" s="3" customFormat="1">
      <c r="A74" s="5"/>
      <c r="B74" s="88" t="s">
        <v>79</v>
      </c>
      <c r="C74" s="24" t="s">
        <v>80</v>
      </c>
      <c r="D74" s="9">
        <f>SUM(D75:D78)</f>
        <v>9300000</v>
      </c>
      <c r="E74" s="9">
        <f>SUM(E75:E79)</f>
        <v>775000</v>
      </c>
      <c r="F74" s="10">
        <f t="shared" ref="F74:P74" si="34">SUM(F75:F79)</f>
        <v>18457.3</v>
      </c>
      <c r="G74" s="10">
        <f t="shared" si="34"/>
        <v>164579.26</v>
      </c>
      <c r="H74" s="10">
        <f t="shared" si="34"/>
        <v>187184.86</v>
      </c>
      <c r="I74" s="10">
        <f t="shared" si="34"/>
        <v>180288.96</v>
      </c>
      <c r="J74" s="10">
        <f t="shared" si="34"/>
        <v>369537.2</v>
      </c>
      <c r="K74" s="10">
        <f t="shared" si="34"/>
        <v>27645.3</v>
      </c>
      <c r="L74" s="10">
        <f t="shared" si="34"/>
        <v>734034.67999999993</v>
      </c>
      <c r="M74" s="10">
        <f t="shared" si="34"/>
        <v>396953.1</v>
      </c>
      <c r="N74" s="10">
        <f t="shared" si="34"/>
        <v>133548.91999999998</v>
      </c>
      <c r="O74" s="10">
        <f t="shared" si="34"/>
        <v>10868.72</v>
      </c>
      <c r="P74" s="10">
        <f t="shared" si="34"/>
        <v>148629.72</v>
      </c>
      <c r="Q74" s="10">
        <f>SUM(Q75:Q78)</f>
        <v>3840273.33</v>
      </c>
      <c r="R74" s="10">
        <f>+R75+R76+R77+R78</f>
        <v>3171863.45</v>
      </c>
      <c r="S74" s="11">
        <f>+S75+S77+S78</f>
        <v>6733420.7800000003</v>
      </c>
      <c r="T74" s="12">
        <f t="shared" ref="T74:T79" si="35">+S74/D74</f>
        <v>0.72402373978494627</v>
      </c>
      <c r="U74" s="13">
        <f>+D74-S74</f>
        <v>2566579.2199999997</v>
      </c>
      <c r="V74" s="14">
        <f>+U74/D74</f>
        <v>0.27597626021505373</v>
      </c>
      <c r="W74" s="96">
        <f>+W75+W77+W78</f>
        <v>1066579.22</v>
      </c>
      <c r="X74" s="97">
        <f>+W74/D74</f>
        <v>0.1146859376344086</v>
      </c>
    </row>
    <row r="75" spans="1:32" s="3" customFormat="1" ht="15.75">
      <c r="A75" s="5"/>
      <c r="B75" s="69" t="s">
        <v>274</v>
      </c>
      <c r="C75" s="70" t="s">
        <v>275</v>
      </c>
      <c r="D75" s="72">
        <v>6800000</v>
      </c>
      <c r="E75" s="17">
        <f t="shared" ref="E75:E78" si="36">+D75/12</f>
        <v>566666.66666666663</v>
      </c>
      <c r="F75" s="17">
        <v>9228.65</v>
      </c>
      <c r="G75" s="17">
        <v>6828.63</v>
      </c>
      <c r="H75" s="17">
        <v>18131.43</v>
      </c>
      <c r="I75" s="17">
        <v>14683.48</v>
      </c>
      <c r="J75" s="17">
        <v>12252.6</v>
      </c>
      <c r="K75" s="17">
        <v>7686.65</v>
      </c>
      <c r="L75" s="17">
        <v>139159.34</v>
      </c>
      <c r="M75" s="17">
        <v>73207.75</v>
      </c>
      <c r="N75" s="17">
        <v>22524.46</v>
      </c>
      <c r="O75" s="17">
        <v>5434.36</v>
      </c>
      <c r="P75" s="17">
        <v>74014.86</v>
      </c>
      <c r="Q75" s="17">
        <f>13253.31+3815950.02</f>
        <v>3829203.33</v>
      </c>
      <c r="R75" s="17">
        <f>13347.65+2878808.6</f>
        <v>2892156.25</v>
      </c>
      <c r="S75" s="18">
        <f t="shared" ref="S75:S78" si="37">+Q75+R75</f>
        <v>6721359.5800000001</v>
      </c>
      <c r="T75" s="19">
        <f t="shared" si="35"/>
        <v>0.98843523235294117</v>
      </c>
      <c r="U75" s="20">
        <f>+D75-S75</f>
        <v>78640.419999999925</v>
      </c>
      <c r="V75" s="21">
        <f>+U75/D75</f>
        <v>1.1564767647058813E-2</v>
      </c>
      <c r="W75" s="18">
        <f>+D75-S75</f>
        <v>78640.419999999925</v>
      </c>
      <c r="X75" s="19">
        <f>+W75/D75</f>
        <v>1.1564767647058813E-2</v>
      </c>
    </row>
    <row r="76" spans="1:32" s="3" customFormat="1" ht="15.75">
      <c r="A76" s="5"/>
      <c r="B76" s="69" t="s">
        <v>216</v>
      </c>
      <c r="C76" s="70" t="s">
        <v>81</v>
      </c>
      <c r="D76" s="72">
        <v>1500000</v>
      </c>
      <c r="E76" s="17">
        <f t="shared" ref="E76" si="38">+D76/12</f>
        <v>125000</v>
      </c>
      <c r="F76" s="17">
        <v>9228.65</v>
      </c>
      <c r="G76" s="17">
        <v>6828.63</v>
      </c>
      <c r="H76" s="17">
        <v>18131.43</v>
      </c>
      <c r="I76" s="17">
        <v>14683.48</v>
      </c>
      <c r="J76" s="17">
        <v>12252.6</v>
      </c>
      <c r="K76" s="17">
        <v>7686.65</v>
      </c>
      <c r="L76" s="17">
        <v>139159.34</v>
      </c>
      <c r="M76" s="17">
        <v>73207.75</v>
      </c>
      <c r="N76" s="17">
        <v>22524.46</v>
      </c>
      <c r="O76" s="17">
        <v>5434.36</v>
      </c>
      <c r="P76" s="17">
        <v>74014.86</v>
      </c>
      <c r="Q76" s="17">
        <v>0</v>
      </c>
      <c r="R76" s="17">
        <v>278716</v>
      </c>
      <c r="S76" s="18">
        <f t="shared" si="37"/>
        <v>278716</v>
      </c>
      <c r="T76" s="19">
        <f t="shared" si="35"/>
        <v>0.18581066666666668</v>
      </c>
      <c r="U76" s="20"/>
      <c r="V76" s="21"/>
      <c r="W76" s="18">
        <f>+D76-S76</f>
        <v>1221284</v>
      </c>
      <c r="X76" s="19">
        <f>+W76/D76</f>
        <v>0.81418933333333332</v>
      </c>
    </row>
    <row r="77" spans="1:32" s="3" customFormat="1" ht="15.75">
      <c r="A77" s="5"/>
      <c r="B77" s="69" t="s">
        <v>217</v>
      </c>
      <c r="C77" s="70" t="s">
        <v>82</v>
      </c>
      <c r="D77" s="72">
        <v>900000</v>
      </c>
      <c r="E77" s="17">
        <f t="shared" si="36"/>
        <v>75000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83">
        <v>11070</v>
      </c>
      <c r="R77" s="83">
        <v>991.2</v>
      </c>
      <c r="S77" s="18">
        <f t="shared" si="37"/>
        <v>12061.2</v>
      </c>
      <c r="T77" s="19">
        <f t="shared" si="35"/>
        <v>1.3401333333333335E-2</v>
      </c>
      <c r="U77" s="20">
        <f>+D77-S77</f>
        <v>887938.8</v>
      </c>
      <c r="V77" s="21">
        <f>+U77/D77</f>
        <v>0.98659866666666673</v>
      </c>
      <c r="W77" s="18">
        <f>+D77-S77</f>
        <v>887938.8</v>
      </c>
      <c r="X77" s="19">
        <f>+W77/D77</f>
        <v>0.98659866666666673</v>
      </c>
    </row>
    <row r="78" spans="1:32" s="3" customFormat="1" ht="15.75">
      <c r="A78" s="5"/>
      <c r="B78" s="69" t="s">
        <v>218</v>
      </c>
      <c r="C78" s="70" t="s">
        <v>250</v>
      </c>
      <c r="D78" s="72">
        <v>100000</v>
      </c>
      <c r="E78" s="17">
        <f t="shared" si="36"/>
        <v>8333.3333333333339</v>
      </c>
      <c r="F78" s="17"/>
      <c r="G78" s="17">
        <v>150922</v>
      </c>
      <c r="H78" s="17">
        <v>150922</v>
      </c>
      <c r="I78" s="17">
        <v>150922</v>
      </c>
      <c r="J78" s="17">
        <v>345032</v>
      </c>
      <c r="K78" s="17">
        <v>12272</v>
      </c>
      <c r="L78" s="17">
        <v>455716</v>
      </c>
      <c r="M78" s="17">
        <v>250537.60000000001</v>
      </c>
      <c r="N78" s="17">
        <v>88500</v>
      </c>
      <c r="O78" s="17"/>
      <c r="P78" s="17">
        <v>600</v>
      </c>
      <c r="Q78" s="17">
        <v>0</v>
      </c>
      <c r="R78" s="17">
        <v>0</v>
      </c>
      <c r="S78" s="18">
        <f t="shared" si="37"/>
        <v>0</v>
      </c>
      <c r="T78" s="19">
        <f t="shared" si="35"/>
        <v>0</v>
      </c>
      <c r="U78" s="20">
        <f>+D78-S78</f>
        <v>100000</v>
      </c>
      <c r="V78" s="21">
        <f>+U78/D78</f>
        <v>1</v>
      </c>
      <c r="W78" s="18">
        <f>+D78-S78</f>
        <v>100000</v>
      </c>
      <c r="X78" s="19">
        <f>+W78/D78</f>
        <v>1</v>
      </c>
    </row>
    <row r="79" spans="1:32" s="3" customFormat="1" ht="15.75" hidden="1">
      <c r="A79" s="5"/>
      <c r="B79" s="73" t="s">
        <v>218</v>
      </c>
      <c r="C79" s="74" t="s">
        <v>83</v>
      </c>
      <c r="D79" s="72">
        <v>100000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26">
        <f t="shared" ref="S79" si="39">SUM(F79:Q79)</f>
        <v>0</v>
      </c>
      <c r="T79" s="19">
        <f t="shared" si="35"/>
        <v>0</v>
      </c>
      <c r="U79" s="20">
        <f>+D79-S79</f>
        <v>100000</v>
      </c>
      <c r="V79" s="21">
        <f>+U79/D79</f>
        <v>1</v>
      </c>
      <c r="W79" s="26">
        <f t="shared" ref="W79" si="40">SUM(J79:V79)</f>
        <v>100001</v>
      </c>
      <c r="X79" s="19" t="e">
        <f>+W79/H79</f>
        <v>#DIV/0!</v>
      </c>
    </row>
    <row r="80" spans="1:32" s="34" customFormat="1" hidden="1">
      <c r="A80" s="5"/>
      <c r="B80" s="88" t="s">
        <v>84</v>
      </c>
      <c r="C80" s="24" t="s">
        <v>85</v>
      </c>
      <c r="D80" s="32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26"/>
      <c r="T80" s="26"/>
      <c r="U80" s="32"/>
      <c r="V80" s="32"/>
      <c r="W80" s="26"/>
      <c r="X80" s="26"/>
      <c r="Y80" s="1"/>
      <c r="Z80" s="1"/>
      <c r="AA80" s="1"/>
      <c r="AB80" s="1"/>
      <c r="AC80" s="1"/>
      <c r="AD80" s="1"/>
      <c r="AE80" s="1"/>
      <c r="AF80" s="29"/>
    </row>
    <row r="81" spans="1:32" s="29" customFormat="1" hidden="1">
      <c r="A81" s="5"/>
      <c r="B81" s="91" t="s">
        <v>86</v>
      </c>
      <c r="C81" s="28" t="s">
        <v>87</v>
      </c>
      <c r="D81" s="35">
        <v>0</v>
      </c>
      <c r="E81" s="17">
        <v>0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26"/>
      <c r="T81" s="26"/>
      <c r="U81" s="35">
        <v>0</v>
      </c>
      <c r="V81" s="35"/>
      <c r="W81" s="26"/>
      <c r="X81" s="26"/>
      <c r="Y81" s="1"/>
      <c r="Z81" s="1"/>
      <c r="AA81" s="1"/>
      <c r="AB81" s="1"/>
      <c r="AC81" s="1"/>
      <c r="AD81" s="1"/>
      <c r="AE81" s="1"/>
    </row>
    <row r="82" spans="1:32" s="3" customFormat="1" hidden="1">
      <c r="A82" s="5"/>
      <c r="B82" s="91" t="s">
        <v>88</v>
      </c>
      <c r="C82" s="28" t="s">
        <v>89</v>
      </c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26"/>
      <c r="T82" s="26"/>
      <c r="U82" s="16"/>
      <c r="V82" s="16"/>
      <c r="W82" s="26"/>
      <c r="X82" s="26"/>
      <c r="Y82" s="1"/>
      <c r="Z82" s="1"/>
      <c r="AA82" s="1"/>
      <c r="AB82" s="1"/>
      <c r="AC82" s="1"/>
      <c r="AD82" s="1"/>
      <c r="AE82" s="1"/>
      <c r="AF82" s="29"/>
    </row>
    <row r="83" spans="1:32" s="29" customFormat="1" hidden="1">
      <c r="A83" s="5"/>
      <c r="B83" s="91" t="s">
        <v>90</v>
      </c>
      <c r="C83" s="28" t="s">
        <v>91</v>
      </c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26"/>
      <c r="T83" s="26"/>
      <c r="U83" s="16"/>
      <c r="V83" s="16"/>
      <c r="W83" s="26"/>
      <c r="X83" s="26"/>
      <c r="Y83" s="1"/>
      <c r="Z83" s="1"/>
      <c r="AA83" s="1"/>
      <c r="AB83" s="1"/>
      <c r="AC83" s="1"/>
      <c r="AD83" s="1"/>
      <c r="AE83" s="1"/>
    </row>
    <row r="84" spans="1:32" s="29" customFormat="1" hidden="1">
      <c r="A84" s="5"/>
      <c r="B84" s="91" t="s">
        <v>92</v>
      </c>
      <c r="C84" s="28" t="s">
        <v>93</v>
      </c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26"/>
      <c r="T84" s="26"/>
      <c r="U84" s="16"/>
      <c r="V84" s="16"/>
      <c r="W84" s="26"/>
      <c r="X84" s="26"/>
      <c r="Y84" s="1"/>
      <c r="Z84" s="1"/>
      <c r="AA84" s="1"/>
      <c r="AB84" s="1"/>
      <c r="AC84" s="1"/>
      <c r="AD84" s="1"/>
      <c r="AE84" s="1"/>
    </row>
    <row r="85" spans="1:32" s="37" customFormat="1">
      <c r="A85" s="36"/>
      <c r="B85" s="88" t="s">
        <v>84</v>
      </c>
      <c r="C85" s="24" t="s">
        <v>85</v>
      </c>
      <c r="D85" s="9">
        <f t="shared" ref="D85:P85" si="41">SUM(D86:D89)</f>
        <v>6531340</v>
      </c>
      <c r="E85" s="9">
        <f t="shared" si="41"/>
        <v>544278.33333333326</v>
      </c>
      <c r="F85" s="10">
        <f t="shared" si="41"/>
        <v>0</v>
      </c>
      <c r="G85" s="10">
        <f t="shared" si="41"/>
        <v>924.58</v>
      </c>
      <c r="H85" s="10">
        <f t="shared" si="41"/>
        <v>980</v>
      </c>
      <c r="I85" s="10">
        <f t="shared" si="41"/>
        <v>1355.02</v>
      </c>
      <c r="J85" s="10">
        <f t="shared" si="41"/>
        <v>120218.40000000001</v>
      </c>
      <c r="K85" s="10">
        <f t="shared" si="41"/>
        <v>55460</v>
      </c>
      <c r="L85" s="10">
        <f t="shared" si="41"/>
        <v>102789.94</v>
      </c>
      <c r="M85" s="10">
        <f t="shared" si="41"/>
        <v>3962373.71</v>
      </c>
      <c r="N85" s="10">
        <f t="shared" si="41"/>
        <v>5008693.75</v>
      </c>
      <c r="O85" s="10">
        <f>SUM(O86:O89)</f>
        <v>231564.91</v>
      </c>
      <c r="P85" s="10">
        <f t="shared" si="41"/>
        <v>324.89999999999998</v>
      </c>
      <c r="Q85" s="10">
        <f>SUM(Q86:Q89)</f>
        <v>636174.96</v>
      </c>
      <c r="R85" s="10">
        <f>+R86+R87+R88+R89</f>
        <v>3871</v>
      </c>
      <c r="S85" s="11">
        <f>+S86+S87+S88+S89</f>
        <v>640045.96</v>
      </c>
      <c r="T85" s="12">
        <f t="shared" ref="T85:T111" si="42">+S85/D85</f>
        <v>9.7996117182691453E-2</v>
      </c>
      <c r="U85" s="13">
        <f>+D85-S85</f>
        <v>5891294.04</v>
      </c>
      <c r="V85" s="14">
        <f>+U85/D85</f>
        <v>0.90200388281730859</v>
      </c>
      <c r="W85" s="96">
        <f>+W86+W87+W88+W89</f>
        <v>5891294.04</v>
      </c>
      <c r="X85" s="97">
        <f t="shared" ref="X85:X111" si="43">+W85/D85</f>
        <v>0.90200388281730859</v>
      </c>
    </row>
    <row r="86" spans="1:32" s="3" customFormat="1" ht="15.75">
      <c r="A86" s="5"/>
      <c r="B86" s="73" t="s">
        <v>86</v>
      </c>
      <c r="C86" s="74" t="s">
        <v>87</v>
      </c>
      <c r="D86" s="72">
        <v>54000</v>
      </c>
      <c r="E86" s="17">
        <f t="shared" ref="E86" si="44">+D86/12</f>
        <v>4500</v>
      </c>
      <c r="F86" s="17"/>
      <c r="G86" s="17">
        <v>924.58</v>
      </c>
      <c r="H86" s="17">
        <v>980</v>
      </c>
      <c r="I86" s="17">
        <f>530.02+825</f>
        <v>1355.02</v>
      </c>
      <c r="J86" s="17">
        <f>160.22+10867.8</f>
        <v>11028.019999999999</v>
      </c>
      <c r="K86" s="17"/>
      <c r="L86" s="17">
        <f>1628.54+79532</f>
        <v>81160.539999999994</v>
      </c>
      <c r="M86" s="17">
        <f>6514.3+812347.2</f>
        <v>818861.5</v>
      </c>
      <c r="N86" s="17"/>
      <c r="O86" s="17">
        <f>874.91+230690</f>
        <v>231564.91</v>
      </c>
      <c r="P86" s="17">
        <v>324.89999999999998</v>
      </c>
      <c r="Q86" s="83">
        <v>1600.08</v>
      </c>
      <c r="R86" s="83">
        <v>95</v>
      </c>
      <c r="S86" s="18">
        <f t="shared" ref="S86:S111" si="45">+Q86+R86</f>
        <v>1695.08</v>
      </c>
      <c r="T86" s="19">
        <f t="shared" si="42"/>
        <v>3.1390370370370367E-2</v>
      </c>
      <c r="U86" s="20">
        <f>+D86-S86</f>
        <v>52304.92</v>
      </c>
      <c r="V86" s="21">
        <f>+U86/D86</f>
        <v>0.9686096296296296</v>
      </c>
      <c r="W86" s="18">
        <f>+D86-S86</f>
        <v>52304.92</v>
      </c>
      <c r="X86" s="19">
        <f t="shared" si="43"/>
        <v>0.9686096296296296</v>
      </c>
    </row>
    <row r="87" spans="1:32" s="3" customFormat="1" ht="15.75">
      <c r="A87" s="5"/>
      <c r="B87" s="73" t="s">
        <v>88</v>
      </c>
      <c r="C87" s="74" t="s">
        <v>89</v>
      </c>
      <c r="D87" s="72">
        <v>420000</v>
      </c>
      <c r="E87" s="17">
        <f t="shared" ref="E87:E111" si="46">+D87/12</f>
        <v>35000</v>
      </c>
      <c r="F87" s="17"/>
      <c r="G87" s="17"/>
      <c r="H87" s="17"/>
      <c r="I87" s="17"/>
      <c r="J87" s="17">
        <v>107380</v>
      </c>
      <c r="K87" s="17">
        <v>55460</v>
      </c>
      <c r="L87" s="17">
        <v>21629.4</v>
      </c>
      <c r="M87" s="17">
        <v>2060862.21</v>
      </c>
      <c r="N87" s="17">
        <v>2303912.5</v>
      </c>
      <c r="O87" s="17"/>
      <c r="P87" s="17"/>
      <c r="Q87" s="83">
        <v>414014.8</v>
      </c>
      <c r="R87" s="83">
        <v>3776</v>
      </c>
      <c r="S87" s="18">
        <f t="shared" si="45"/>
        <v>417790.8</v>
      </c>
      <c r="T87" s="19">
        <f t="shared" si="42"/>
        <v>0.99473999999999996</v>
      </c>
      <c r="U87" s="20">
        <f>+D87-S87</f>
        <v>2209.2000000000116</v>
      </c>
      <c r="V87" s="21">
        <f>+U87/D87</f>
        <v>5.2600000000000277E-3</v>
      </c>
      <c r="W87" s="18">
        <f>+D87-S87</f>
        <v>2209.2000000000116</v>
      </c>
      <c r="X87" s="19">
        <f t="shared" si="43"/>
        <v>5.2600000000000277E-3</v>
      </c>
    </row>
    <row r="88" spans="1:32" s="3" customFormat="1" ht="15.75">
      <c r="A88" s="5"/>
      <c r="B88" s="73" t="s">
        <v>90</v>
      </c>
      <c r="C88" s="74" t="s">
        <v>91</v>
      </c>
      <c r="D88" s="72">
        <v>4287340</v>
      </c>
      <c r="E88" s="17">
        <f t="shared" si="46"/>
        <v>357278.33333333331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83">
        <v>220560.08</v>
      </c>
      <c r="R88" s="83">
        <v>0</v>
      </c>
      <c r="S88" s="18">
        <f t="shared" si="45"/>
        <v>220560.08</v>
      </c>
      <c r="T88" s="19">
        <f t="shared" si="42"/>
        <v>5.1444504051463141E-2</v>
      </c>
      <c r="U88" s="20"/>
      <c r="V88" s="21"/>
      <c r="W88" s="18">
        <f>+D88-S88</f>
        <v>4066779.92</v>
      </c>
      <c r="X88" s="19">
        <f t="shared" si="43"/>
        <v>0.94855549594853683</v>
      </c>
    </row>
    <row r="89" spans="1:32" s="3" customFormat="1" ht="15.75">
      <c r="A89" s="5"/>
      <c r="B89" s="73" t="s">
        <v>92</v>
      </c>
      <c r="C89" s="74" t="s">
        <v>93</v>
      </c>
      <c r="D89" s="72">
        <v>1770000</v>
      </c>
      <c r="E89" s="17">
        <f t="shared" si="46"/>
        <v>147500</v>
      </c>
      <c r="F89" s="17"/>
      <c r="G89" s="17"/>
      <c r="H89" s="17"/>
      <c r="I89" s="17"/>
      <c r="J89" s="17">
        <v>1810.38</v>
      </c>
      <c r="K89" s="17"/>
      <c r="L89" s="17"/>
      <c r="M89" s="17">
        <v>1082650</v>
      </c>
      <c r="N89" s="17">
        <v>2704781.25</v>
      </c>
      <c r="O89" s="17"/>
      <c r="P89" s="17"/>
      <c r="Q89" s="17">
        <v>0</v>
      </c>
      <c r="R89" s="17">
        <v>0</v>
      </c>
      <c r="S89" s="18">
        <f t="shared" si="45"/>
        <v>0</v>
      </c>
      <c r="T89" s="19">
        <f t="shared" si="42"/>
        <v>0</v>
      </c>
      <c r="U89" s="20">
        <f t="shared" ref="U89:U111" si="47">+D89-S89</f>
        <v>1770000</v>
      </c>
      <c r="V89" s="21">
        <f t="shared" ref="V89:V111" si="48">+U89/D89</f>
        <v>1</v>
      </c>
      <c r="W89" s="18">
        <f>+D89-S89</f>
        <v>1770000</v>
      </c>
      <c r="X89" s="19">
        <f t="shared" si="43"/>
        <v>1</v>
      </c>
    </row>
    <row r="90" spans="1:32" s="34" customFormat="1">
      <c r="A90" s="5"/>
      <c r="B90" s="88" t="s">
        <v>94</v>
      </c>
      <c r="C90" s="24" t="s">
        <v>95</v>
      </c>
      <c r="D90" s="9">
        <f t="shared" ref="D90:P90" si="49">SUM(D91:D94)</f>
        <v>1250000</v>
      </c>
      <c r="E90" s="9">
        <f>SUM(E91:E94)</f>
        <v>104166.66666666667</v>
      </c>
      <c r="F90" s="10">
        <f t="shared" si="49"/>
        <v>112430.25</v>
      </c>
      <c r="G90" s="10">
        <f t="shared" si="49"/>
        <v>885</v>
      </c>
      <c r="H90" s="10">
        <f t="shared" si="49"/>
        <v>2996.11</v>
      </c>
      <c r="I90" s="10">
        <f t="shared" si="49"/>
        <v>15036</v>
      </c>
      <c r="J90" s="10">
        <f t="shared" si="49"/>
        <v>59000</v>
      </c>
      <c r="K90" s="10">
        <f t="shared" si="49"/>
        <v>812254.5</v>
      </c>
      <c r="L90" s="10">
        <f t="shared" si="49"/>
        <v>229548.6</v>
      </c>
      <c r="M90" s="10">
        <f t="shared" si="49"/>
        <v>823017.2</v>
      </c>
      <c r="N90" s="10">
        <f t="shared" si="49"/>
        <v>5803.16</v>
      </c>
      <c r="O90" s="10">
        <f>SUM(O91:O94)</f>
        <v>194481.54</v>
      </c>
      <c r="P90" s="10">
        <f t="shared" si="49"/>
        <v>160</v>
      </c>
      <c r="Q90" s="10">
        <f>SUM(Q91:Q94)</f>
        <v>181595.7</v>
      </c>
      <c r="R90" s="10">
        <f>+R91+R92+R93+R94</f>
        <v>24786.04</v>
      </c>
      <c r="S90" s="11">
        <f>+S91+S92+S93+S94</f>
        <v>206381.74000000002</v>
      </c>
      <c r="T90" s="12">
        <f t="shared" si="42"/>
        <v>0.16510539200000002</v>
      </c>
      <c r="U90" s="13">
        <f t="shared" si="47"/>
        <v>1043618.26</v>
      </c>
      <c r="V90" s="14">
        <f t="shared" si="48"/>
        <v>0.83489460800000004</v>
      </c>
      <c r="W90" s="96">
        <f>+W91+W92+W93+W94</f>
        <v>1043618.26</v>
      </c>
      <c r="X90" s="97">
        <f t="shared" si="43"/>
        <v>0.83489460800000004</v>
      </c>
      <c r="Y90" s="1"/>
      <c r="Z90" s="1"/>
      <c r="AA90" s="1"/>
      <c r="AB90" s="1"/>
      <c r="AC90" s="1"/>
      <c r="AD90" s="1"/>
      <c r="AE90" s="1"/>
      <c r="AF90" s="29"/>
    </row>
    <row r="91" spans="1:32" s="3" customFormat="1" ht="15.75">
      <c r="A91" s="5"/>
      <c r="B91" s="69" t="s">
        <v>219</v>
      </c>
      <c r="C91" s="70" t="s">
        <v>96</v>
      </c>
      <c r="D91" s="72">
        <v>400000</v>
      </c>
      <c r="E91" s="17">
        <f t="shared" si="46"/>
        <v>33333.333333333336</v>
      </c>
      <c r="F91" s="17"/>
      <c r="G91" s="17"/>
      <c r="H91" s="17"/>
      <c r="I91" s="17"/>
      <c r="J91" s="17"/>
      <c r="K91" s="17">
        <v>56640</v>
      </c>
      <c r="L91" s="17">
        <v>113280</v>
      </c>
      <c r="M91" s="17"/>
      <c r="N91" s="17">
        <v>1239</v>
      </c>
      <c r="O91" s="17">
        <v>155869.39000000001</v>
      </c>
      <c r="P91" s="17"/>
      <c r="Q91" s="17">
        <v>0</v>
      </c>
      <c r="R91" s="17">
        <v>1546.5</v>
      </c>
      <c r="S91" s="18">
        <f t="shared" si="45"/>
        <v>1546.5</v>
      </c>
      <c r="T91" s="19">
        <f t="shared" si="42"/>
        <v>3.8662499999999999E-3</v>
      </c>
      <c r="U91" s="20">
        <f t="shared" si="47"/>
        <v>398453.5</v>
      </c>
      <c r="V91" s="21">
        <f t="shared" si="48"/>
        <v>0.99613375000000004</v>
      </c>
      <c r="W91" s="18">
        <f>+D91-S91</f>
        <v>398453.5</v>
      </c>
      <c r="X91" s="19">
        <f t="shared" si="43"/>
        <v>0.99613375000000004</v>
      </c>
      <c r="Y91" s="2"/>
      <c r="Z91" s="2"/>
      <c r="AA91" s="2"/>
      <c r="AB91" s="2"/>
      <c r="AC91" s="2"/>
      <c r="AD91" s="2"/>
      <c r="AE91" s="2"/>
      <c r="AF91" s="4"/>
    </row>
    <row r="92" spans="1:32" s="3" customFormat="1" ht="15.75">
      <c r="A92" s="5"/>
      <c r="B92" s="69" t="s">
        <v>220</v>
      </c>
      <c r="C92" s="70" t="s">
        <v>97</v>
      </c>
      <c r="D92" s="76">
        <v>300000</v>
      </c>
      <c r="E92" s="17">
        <f t="shared" si="46"/>
        <v>25000</v>
      </c>
      <c r="F92" s="17">
        <v>1099</v>
      </c>
      <c r="G92" s="17"/>
      <c r="H92" s="17">
        <v>2996.11</v>
      </c>
      <c r="I92" s="17">
        <v>236</v>
      </c>
      <c r="J92" s="17"/>
      <c r="K92" s="17">
        <v>1790.5</v>
      </c>
      <c r="L92" s="17">
        <v>71700</v>
      </c>
      <c r="M92" s="17">
        <v>2917.2</v>
      </c>
      <c r="N92" s="17">
        <v>4564.16</v>
      </c>
      <c r="O92" s="17">
        <v>1799.03</v>
      </c>
      <c r="P92" s="17"/>
      <c r="Q92" s="83">
        <v>166845.70000000001</v>
      </c>
      <c r="R92" s="83">
        <v>2239.54</v>
      </c>
      <c r="S92" s="18">
        <f t="shared" si="45"/>
        <v>169085.24000000002</v>
      </c>
      <c r="T92" s="19">
        <f t="shared" si="42"/>
        <v>0.56361746666666668</v>
      </c>
      <c r="U92" s="20">
        <f t="shared" si="47"/>
        <v>130914.75999999998</v>
      </c>
      <c r="V92" s="21">
        <f t="shared" si="48"/>
        <v>0.43638253333333327</v>
      </c>
      <c r="W92" s="18">
        <f>+D92-S92</f>
        <v>130914.75999999998</v>
      </c>
      <c r="X92" s="19">
        <f t="shared" si="43"/>
        <v>0.43638253333333327</v>
      </c>
      <c r="Y92" s="2"/>
      <c r="Z92" s="2"/>
      <c r="AA92" s="2"/>
      <c r="AB92" s="2"/>
      <c r="AC92" s="2"/>
      <c r="AD92" s="2"/>
      <c r="AE92" s="2"/>
      <c r="AF92" s="4"/>
    </row>
    <row r="93" spans="1:32" s="3" customFormat="1" ht="15.75">
      <c r="A93" s="5"/>
      <c r="B93" s="69" t="s">
        <v>221</v>
      </c>
      <c r="C93" s="70" t="s">
        <v>98</v>
      </c>
      <c r="D93" s="76">
        <v>200000</v>
      </c>
      <c r="E93" s="17">
        <f t="shared" si="46"/>
        <v>16666.666666666668</v>
      </c>
      <c r="F93" s="17">
        <v>94031.25</v>
      </c>
      <c r="G93" s="17">
        <v>885</v>
      </c>
      <c r="H93" s="17"/>
      <c r="I93" s="17"/>
      <c r="J93" s="17">
        <v>59000</v>
      </c>
      <c r="K93" s="17">
        <v>732824</v>
      </c>
      <c r="L93" s="17">
        <v>44568.6</v>
      </c>
      <c r="M93" s="17">
        <v>820100</v>
      </c>
      <c r="N93" s="17"/>
      <c r="O93" s="17">
        <v>36718.120000000003</v>
      </c>
      <c r="P93" s="17"/>
      <c r="Q93" s="83">
        <v>14750</v>
      </c>
      <c r="R93" s="83">
        <v>0</v>
      </c>
      <c r="S93" s="18">
        <f t="shared" si="45"/>
        <v>14750</v>
      </c>
      <c r="T93" s="19">
        <f t="shared" si="42"/>
        <v>7.3749999999999996E-2</v>
      </c>
      <c r="U93" s="20">
        <f t="shared" si="47"/>
        <v>185250</v>
      </c>
      <c r="V93" s="21">
        <f t="shared" si="48"/>
        <v>0.92625000000000002</v>
      </c>
      <c r="W93" s="18">
        <f>+D93-S93</f>
        <v>185250</v>
      </c>
      <c r="X93" s="19">
        <f t="shared" si="43"/>
        <v>0.92625000000000002</v>
      </c>
      <c r="Y93" s="2"/>
      <c r="Z93" s="2"/>
      <c r="AA93" s="2"/>
      <c r="AB93" s="2"/>
      <c r="AC93" s="2"/>
      <c r="AD93" s="2"/>
      <c r="AE93" s="2"/>
      <c r="AF93" s="4"/>
    </row>
    <row r="94" spans="1:32" s="3" customFormat="1" ht="15.75">
      <c r="A94" s="5"/>
      <c r="B94" s="69" t="s">
        <v>222</v>
      </c>
      <c r="C94" s="70" t="s">
        <v>99</v>
      </c>
      <c r="D94" s="76">
        <v>350000</v>
      </c>
      <c r="E94" s="17">
        <f t="shared" si="46"/>
        <v>29166.666666666668</v>
      </c>
      <c r="F94" s="39">
        <v>17300</v>
      </c>
      <c r="G94" s="39"/>
      <c r="H94" s="39"/>
      <c r="I94" s="39">
        <v>14800</v>
      </c>
      <c r="J94" s="39"/>
      <c r="K94" s="39">
        <v>21000</v>
      </c>
      <c r="L94" s="39"/>
      <c r="M94" s="39"/>
      <c r="N94" s="39"/>
      <c r="O94" s="39">
        <v>95</v>
      </c>
      <c r="P94" s="39">
        <v>160</v>
      </c>
      <c r="Q94" s="39">
        <v>0</v>
      </c>
      <c r="R94" s="39">
        <v>21000</v>
      </c>
      <c r="S94" s="18">
        <f t="shared" si="45"/>
        <v>21000</v>
      </c>
      <c r="T94" s="19">
        <f t="shared" si="42"/>
        <v>0.06</v>
      </c>
      <c r="U94" s="20">
        <f t="shared" si="47"/>
        <v>329000</v>
      </c>
      <c r="V94" s="21">
        <f t="shared" si="48"/>
        <v>0.94</v>
      </c>
      <c r="W94" s="18">
        <f>+D94-S94</f>
        <v>329000</v>
      </c>
      <c r="X94" s="19">
        <f t="shared" si="43"/>
        <v>0.94</v>
      </c>
      <c r="Y94" s="2"/>
      <c r="Z94" s="2"/>
      <c r="AA94" s="2"/>
      <c r="AB94" s="2"/>
      <c r="AC94" s="2"/>
      <c r="AD94" s="2"/>
      <c r="AE94" s="2"/>
      <c r="AF94" s="4"/>
    </row>
    <row r="95" spans="1:32" s="3" customFormat="1">
      <c r="A95" s="5"/>
      <c r="B95" s="88" t="s">
        <v>100</v>
      </c>
      <c r="C95" s="24" t="s">
        <v>101</v>
      </c>
      <c r="D95" s="9">
        <f t="shared" ref="D95:P95" si="50">SUM(D96:D97)</f>
        <v>750000</v>
      </c>
      <c r="E95" s="9">
        <f>SUM(E96:E97)</f>
        <v>62500</v>
      </c>
      <c r="F95" s="10">
        <f t="shared" si="50"/>
        <v>501641.87</v>
      </c>
      <c r="G95" s="10">
        <f t="shared" si="50"/>
        <v>300000</v>
      </c>
      <c r="H95" s="10">
        <f t="shared" si="50"/>
        <v>1996327.75</v>
      </c>
      <c r="I95" s="10">
        <f t="shared" si="50"/>
        <v>759054.74</v>
      </c>
      <c r="J95" s="10">
        <f t="shared" si="50"/>
        <v>0</v>
      </c>
      <c r="K95" s="10">
        <f t="shared" si="50"/>
        <v>0</v>
      </c>
      <c r="L95" s="10">
        <f t="shared" si="50"/>
        <v>0</v>
      </c>
      <c r="M95" s="10">
        <f t="shared" si="50"/>
        <v>0</v>
      </c>
      <c r="N95" s="10">
        <f t="shared" si="50"/>
        <v>0</v>
      </c>
      <c r="O95" s="10">
        <f t="shared" si="50"/>
        <v>93476.17</v>
      </c>
      <c r="P95" s="10">
        <f t="shared" si="50"/>
        <v>576091</v>
      </c>
      <c r="Q95" s="10">
        <f>+Q96+Q97</f>
        <v>0</v>
      </c>
      <c r="R95" s="10">
        <f>+R96+R97</f>
        <v>0</v>
      </c>
      <c r="S95" s="11">
        <f>+S96+S97</f>
        <v>0</v>
      </c>
      <c r="T95" s="12">
        <f t="shared" si="42"/>
        <v>0</v>
      </c>
      <c r="U95" s="13">
        <f t="shared" si="47"/>
        <v>750000</v>
      </c>
      <c r="V95" s="14">
        <f t="shared" si="48"/>
        <v>1</v>
      </c>
      <c r="W95" s="96">
        <f>+W96+W97</f>
        <v>750000</v>
      </c>
      <c r="X95" s="97">
        <f t="shared" si="43"/>
        <v>1</v>
      </c>
      <c r="Y95" s="2"/>
      <c r="Z95" s="2"/>
      <c r="AA95" s="2"/>
      <c r="AB95" s="2"/>
      <c r="AC95" s="2"/>
      <c r="AD95" s="2"/>
      <c r="AE95" s="2"/>
      <c r="AF95" s="4"/>
    </row>
    <row r="96" spans="1:32" s="40" customFormat="1" ht="15.75">
      <c r="A96" s="36"/>
      <c r="B96" s="77" t="s">
        <v>102</v>
      </c>
      <c r="C96" s="75" t="s">
        <v>103</v>
      </c>
      <c r="D96" s="72">
        <v>400000</v>
      </c>
      <c r="E96" s="17">
        <f t="shared" si="46"/>
        <v>33333.333333333336</v>
      </c>
      <c r="F96" s="17">
        <v>501641.87</v>
      </c>
      <c r="G96" s="17"/>
      <c r="H96" s="17">
        <v>1554121.75</v>
      </c>
      <c r="I96" s="17">
        <v>759054.74</v>
      </c>
      <c r="J96" s="17"/>
      <c r="K96" s="17"/>
      <c r="L96" s="17"/>
      <c r="M96" s="17"/>
      <c r="N96" s="17"/>
      <c r="O96" s="17">
        <v>93476.17</v>
      </c>
      <c r="P96" s="17">
        <v>3245</v>
      </c>
      <c r="Q96" s="17">
        <v>0</v>
      </c>
      <c r="R96" s="17">
        <v>0</v>
      </c>
      <c r="S96" s="18">
        <f t="shared" si="45"/>
        <v>0</v>
      </c>
      <c r="T96" s="19">
        <f t="shared" si="42"/>
        <v>0</v>
      </c>
      <c r="U96" s="20">
        <f t="shared" si="47"/>
        <v>400000</v>
      </c>
      <c r="V96" s="21">
        <f t="shared" si="48"/>
        <v>1</v>
      </c>
      <c r="W96" s="18">
        <f>+D96-S96</f>
        <v>400000</v>
      </c>
      <c r="X96" s="19">
        <f t="shared" si="43"/>
        <v>1</v>
      </c>
      <c r="Y96" s="37"/>
      <c r="Z96" s="37"/>
      <c r="AA96" s="37"/>
      <c r="AB96" s="37"/>
      <c r="AC96" s="37"/>
      <c r="AD96" s="37"/>
      <c r="AE96" s="37"/>
    </row>
    <row r="97" spans="1:32" s="40" customFormat="1" ht="15.75">
      <c r="A97" s="36"/>
      <c r="B97" s="77" t="s">
        <v>104</v>
      </c>
      <c r="C97" s="75" t="s">
        <v>105</v>
      </c>
      <c r="D97" s="72">
        <v>350000</v>
      </c>
      <c r="E97" s="17">
        <f t="shared" si="46"/>
        <v>29166.666666666668</v>
      </c>
      <c r="F97" s="17"/>
      <c r="G97" s="17">
        <v>300000</v>
      </c>
      <c r="H97" s="17">
        <v>442206</v>
      </c>
      <c r="I97" s="17"/>
      <c r="J97" s="17"/>
      <c r="K97" s="17"/>
      <c r="L97" s="17"/>
      <c r="M97" s="17"/>
      <c r="N97" s="17"/>
      <c r="O97" s="17"/>
      <c r="P97" s="17">
        <v>572846</v>
      </c>
      <c r="Q97" s="17">
        <v>0</v>
      </c>
      <c r="R97" s="17">
        <v>0</v>
      </c>
      <c r="S97" s="18">
        <f t="shared" si="45"/>
        <v>0</v>
      </c>
      <c r="T97" s="19">
        <f t="shared" si="42"/>
        <v>0</v>
      </c>
      <c r="U97" s="20">
        <f t="shared" si="47"/>
        <v>350000</v>
      </c>
      <c r="V97" s="21">
        <f t="shared" si="48"/>
        <v>1</v>
      </c>
      <c r="W97" s="18">
        <f>+D97-S97</f>
        <v>350000</v>
      </c>
      <c r="X97" s="19">
        <f t="shared" si="43"/>
        <v>1</v>
      </c>
      <c r="Y97" s="37"/>
      <c r="Z97" s="37"/>
      <c r="AA97" s="37"/>
      <c r="AB97" s="37"/>
      <c r="AC97" s="37"/>
      <c r="AD97" s="37"/>
      <c r="AE97" s="37"/>
    </row>
    <row r="98" spans="1:32" s="37" customFormat="1">
      <c r="A98" s="36"/>
      <c r="B98" s="88" t="s">
        <v>106</v>
      </c>
      <c r="C98" s="24" t="s">
        <v>107</v>
      </c>
      <c r="D98" s="9">
        <f t="shared" ref="D98:P98" si="51">SUM(D100:D102)</f>
        <v>4200000</v>
      </c>
      <c r="E98" s="9">
        <f>SUM(E100:E102)</f>
        <v>350000</v>
      </c>
      <c r="F98" s="10">
        <f t="shared" si="51"/>
        <v>368486.44</v>
      </c>
      <c r="G98" s="10">
        <f t="shared" si="51"/>
        <v>167210.88</v>
      </c>
      <c r="H98" s="10">
        <f t="shared" si="51"/>
        <v>329107.14</v>
      </c>
      <c r="I98" s="10">
        <f t="shared" si="51"/>
        <v>16852.989999999998</v>
      </c>
      <c r="J98" s="10">
        <f t="shared" si="51"/>
        <v>103690.63</v>
      </c>
      <c r="K98" s="10">
        <f t="shared" si="51"/>
        <v>28147.95</v>
      </c>
      <c r="L98" s="10">
        <f t="shared" si="51"/>
        <v>178302.56</v>
      </c>
      <c r="M98" s="10">
        <f t="shared" si="51"/>
        <v>80676.36</v>
      </c>
      <c r="N98" s="10">
        <f>SUM(N100:N102)</f>
        <v>8509.4599999999991</v>
      </c>
      <c r="O98" s="10">
        <f>SUM(O100:O102)</f>
        <v>315158.68</v>
      </c>
      <c r="P98" s="10">
        <f t="shared" si="51"/>
        <v>7996.37</v>
      </c>
      <c r="Q98" s="10">
        <f>SUM(Q100:Q102)</f>
        <v>239889.64</v>
      </c>
      <c r="R98" s="10">
        <f>+R99+R100+R101+R102</f>
        <v>5070.2800000000007</v>
      </c>
      <c r="S98" s="11">
        <f>+S100+S101+S102</f>
        <v>244428.92</v>
      </c>
      <c r="T98" s="12">
        <f t="shared" si="42"/>
        <v>5.8197361904761907E-2</v>
      </c>
      <c r="U98" s="13">
        <f t="shared" si="47"/>
        <v>3955571.08</v>
      </c>
      <c r="V98" s="14">
        <f t="shared" si="48"/>
        <v>0.94180263809523812</v>
      </c>
      <c r="W98" s="96">
        <f>+W100+W101+W102</f>
        <v>3955571.08</v>
      </c>
      <c r="X98" s="97">
        <f t="shared" si="43"/>
        <v>0.94180263809523812</v>
      </c>
    </row>
    <row r="99" spans="1:32" s="37" customFormat="1" ht="15.75">
      <c r="A99" s="36"/>
      <c r="B99" s="69" t="s">
        <v>288</v>
      </c>
      <c r="C99" s="70" t="s">
        <v>289</v>
      </c>
      <c r="D99" s="76">
        <v>30000</v>
      </c>
      <c r="E99" s="17">
        <f t="shared" ref="E99" si="52">+D99/12</f>
        <v>2500</v>
      </c>
      <c r="F99" s="17">
        <v>39199.980000000003</v>
      </c>
      <c r="G99" s="17">
        <v>150775.96</v>
      </c>
      <c r="H99" s="17">
        <v>51849.2</v>
      </c>
      <c r="I99" s="17"/>
      <c r="J99" s="17">
        <v>87000.03</v>
      </c>
      <c r="K99" s="17"/>
      <c r="L99" s="17">
        <v>142005.1</v>
      </c>
      <c r="M99" s="17">
        <v>31594.5</v>
      </c>
      <c r="N99" s="17"/>
      <c r="O99" s="17"/>
      <c r="P99" s="17"/>
      <c r="Q99" s="83">
        <v>0</v>
      </c>
      <c r="R99" s="83">
        <v>531</v>
      </c>
      <c r="S99" s="18">
        <f t="shared" si="45"/>
        <v>531</v>
      </c>
      <c r="T99" s="19">
        <f t="shared" si="42"/>
        <v>1.77E-2</v>
      </c>
      <c r="U99" s="20">
        <f t="shared" si="47"/>
        <v>29469</v>
      </c>
      <c r="V99" s="21">
        <f t="shared" si="48"/>
        <v>0.98229999999999995</v>
      </c>
      <c r="W99" s="18">
        <f>+D99-S99</f>
        <v>29469</v>
      </c>
      <c r="X99" s="19">
        <f t="shared" si="43"/>
        <v>0.98229999999999995</v>
      </c>
    </row>
    <row r="100" spans="1:32" s="3" customFormat="1" ht="15.75">
      <c r="A100" s="5"/>
      <c r="B100" s="69" t="s">
        <v>223</v>
      </c>
      <c r="C100" s="70" t="s">
        <v>108</v>
      </c>
      <c r="D100" s="76">
        <v>3200000</v>
      </c>
      <c r="E100" s="17">
        <f t="shared" si="46"/>
        <v>266666.66666666669</v>
      </c>
      <c r="F100" s="17">
        <v>39199.980000000003</v>
      </c>
      <c r="G100" s="17">
        <v>150775.96</v>
      </c>
      <c r="H100" s="17">
        <v>51849.2</v>
      </c>
      <c r="I100" s="17"/>
      <c r="J100" s="17">
        <v>87000.03</v>
      </c>
      <c r="K100" s="17"/>
      <c r="L100" s="17">
        <v>142005.1</v>
      </c>
      <c r="M100" s="17">
        <v>31594.5</v>
      </c>
      <c r="N100" s="17"/>
      <c r="O100" s="17"/>
      <c r="P100" s="17"/>
      <c r="Q100" s="83">
        <v>33394</v>
      </c>
      <c r="R100" s="83">
        <v>0</v>
      </c>
      <c r="S100" s="18">
        <f t="shared" si="45"/>
        <v>33394</v>
      </c>
      <c r="T100" s="19">
        <f t="shared" si="42"/>
        <v>1.0435625E-2</v>
      </c>
      <c r="U100" s="20">
        <f t="shared" si="47"/>
        <v>3166606</v>
      </c>
      <c r="V100" s="21">
        <f t="shared" si="48"/>
        <v>0.98956437500000005</v>
      </c>
      <c r="W100" s="18">
        <f>+D100-S100</f>
        <v>3166606</v>
      </c>
      <c r="X100" s="19">
        <f t="shared" si="43"/>
        <v>0.98956437500000005</v>
      </c>
      <c r="AF100" s="4"/>
    </row>
    <row r="101" spans="1:32" s="3" customFormat="1" ht="15.75">
      <c r="A101" s="5"/>
      <c r="B101" s="69" t="s">
        <v>224</v>
      </c>
      <c r="C101" s="70" t="s">
        <v>225</v>
      </c>
      <c r="D101" s="76">
        <v>100000</v>
      </c>
      <c r="E101" s="17">
        <f t="shared" si="46"/>
        <v>8333.3333333333339</v>
      </c>
      <c r="F101" s="17"/>
      <c r="G101" s="17">
        <v>1404.2</v>
      </c>
      <c r="H101" s="17">
        <v>4542.7</v>
      </c>
      <c r="I101" s="17">
        <v>3000</v>
      </c>
      <c r="J101" s="17"/>
      <c r="K101" s="17">
        <v>25635.5</v>
      </c>
      <c r="L101" s="17">
        <v>9817.6</v>
      </c>
      <c r="M101" s="17">
        <v>1463.5</v>
      </c>
      <c r="N101" s="17">
        <v>1645</v>
      </c>
      <c r="O101" s="17">
        <f>2250+449.98</f>
        <v>2699.98</v>
      </c>
      <c r="P101" s="17">
        <v>3295</v>
      </c>
      <c r="Q101" s="83">
        <v>0</v>
      </c>
      <c r="R101" s="83">
        <v>1121</v>
      </c>
      <c r="S101" s="18">
        <f t="shared" si="45"/>
        <v>1121</v>
      </c>
      <c r="T101" s="19">
        <f t="shared" si="42"/>
        <v>1.1209999999999999E-2</v>
      </c>
      <c r="U101" s="20">
        <f t="shared" si="47"/>
        <v>98879</v>
      </c>
      <c r="V101" s="21">
        <f t="shared" si="48"/>
        <v>0.98878999999999995</v>
      </c>
      <c r="W101" s="18">
        <f>+D101-S101</f>
        <v>98879</v>
      </c>
      <c r="X101" s="19">
        <f t="shared" si="43"/>
        <v>0.98878999999999995</v>
      </c>
      <c r="AF101" s="4"/>
    </row>
    <row r="102" spans="1:32" s="3" customFormat="1" ht="15.75">
      <c r="A102" s="5"/>
      <c r="B102" s="69" t="s">
        <v>226</v>
      </c>
      <c r="C102" s="70" t="s">
        <v>109</v>
      </c>
      <c r="D102" s="76">
        <v>900000</v>
      </c>
      <c r="E102" s="17">
        <f t="shared" si="46"/>
        <v>75000</v>
      </c>
      <c r="F102" s="17">
        <v>329286.46000000002</v>
      </c>
      <c r="G102" s="17">
        <v>15030.72</v>
      </c>
      <c r="H102" s="17">
        <v>272715.24</v>
      </c>
      <c r="I102" s="17">
        <v>13852.99</v>
      </c>
      <c r="J102" s="17">
        <v>16690.599999999999</v>
      </c>
      <c r="K102" s="17">
        <v>2512.4499999999998</v>
      </c>
      <c r="L102" s="17">
        <v>26479.86</v>
      </c>
      <c r="M102" s="17">
        <v>47618.36</v>
      </c>
      <c r="N102" s="17">
        <v>6864.46</v>
      </c>
      <c r="O102" s="17">
        <v>312458.7</v>
      </c>
      <c r="P102" s="17">
        <v>4701.37</v>
      </c>
      <c r="Q102" s="83">
        <v>206495.64</v>
      </c>
      <c r="R102" s="83">
        <v>3418.28</v>
      </c>
      <c r="S102" s="18">
        <f t="shared" si="45"/>
        <v>209913.92</v>
      </c>
      <c r="T102" s="19">
        <f t="shared" si="42"/>
        <v>0.23323768888888891</v>
      </c>
      <c r="U102" s="20">
        <f t="shared" si="47"/>
        <v>690086.08</v>
      </c>
      <c r="V102" s="21">
        <f t="shared" si="48"/>
        <v>0.76676231111111104</v>
      </c>
      <c r="W102" s="18">
        <f>+D102-S102</f>
        <v>690086.08</v>
      </c>
      <c r="X102" s="19">
        <f t="shared" si="43"/>
        <v>0.76676231111111104</v>
      </c>
      <c r="AF102" s="4"/>
    </row>
    <row r="103" spans="1:32" s="37" customFormat="1">
      <c r="A103" s="36"/>
      <c r="B103" s="88" t="s">
        <v>110</v>
      </c>
      <c r="C103" s="24" t="s">
        <v>111</v>
      </c>
      <c r="D103" s="9">
        <f t="shared" ref="D103:P103" si="53">SUM(D104:D111)</f>
        <v>983000</v>
      </c>
      <c r="E103" s="9">
        <f>SUM(E104:E111)</f>
        <v>81916.666666666657</v>
      </c>
      <c r="F103" s="10">
        <f t="shared" si="53"/>
        <v>34952</v>
      </c>
      <c r="G103" s="10">
        <f t="shared" si="53"/>
        <v>126980.98000000001</v>
      </c>
      <c r="H103" s="10">
        <f t="shared" si="53"/>
        <v>111979.63</v>
      </c>
      <c r="I103" s="10">
        <f t="shared" si="53"/>
        <v>89498.27</v>
      </c>
      <c r="J103" s="10">
        <f t="shared" si="53"/>
        <v>1079590.06</v>
      </c>
      <c r="K103" s="10">
        <f t="shared" si="53"/>
        <v>186195.66</v>
      </c>
      <c r="L103" s="10">
        <f t="shared" si="53"/>
        <v>151296.70000000001</v>
      </c>
      <c r="M103" s="10">
        <f t="shared" si="53"/>
        <v>326416.49000000005</v>
      </c>
      <c r="N103" s="10">
        <f>SUM(N104:N111)</f>
        <v>803307.96</v>
      </c>
      <c r="O103" s="10">
        <f>SUM(O104:O111)</f>
        <v>1542749.6300000001</v>
      </c>
      <c r="P103" s="10">
        <f t="shared" si="53"/>
        <v>830480.29</v>
      </c>
      <c r="Q103" s="10">
        <f>SUM(Q104:Q111)</f>
        <v>173763.25</v>
      </c>
      <c r="R103" s="10">
        <f>+R104+R105+R106+R107+R108+R111</f>
        <v>82988.469999999987</v>
      </c>
      <c r="S103" s="11">
        <f>SUM(S104:S111)</f>
        <v>256751.72</v>
      </c>
      <c r="T103" s="12">
        <f t="shared" si="42"/>
        <v>0.26119198372329605</v>
      </c>
      <c r="U103" s="13">
        <f t="shared" si="47"/>
        <v>726248.28</v>
      </c>
      <c r="V103" s="14">
        <f t="shared" si="48"/>
        <v>0.738808016276704</v>
      </c>
      <c r="W103" s="96">
        <f>SUM(W104:W111)</f>
        <v>726248.28</v>
      </c>
      <c r="X103" s="97">
        <f t="shared" si="43"/>
        <v>0.738808016276704</v>
      </c>
    </row>
    <row r="104" spans="1:32" s="3" customFormat="1" ht="15.75">
      <c r="A104" s="5"/>
      <c r="B104" s="69" t="s">
        <v>227</v>
      </c>
      <c r="C104" s="70" t="s">
        <v>112</v>
      </c>
      <c r="D104" s="78">
        <f>80000+100000</f>
        <v>180000</v>
      </c>
      <c r="E104" s="17">
        <f t="shared" si="46"/>
        <v>15000</v>
      </c>
      <c r="F104" s="17">
        <v>89.99</v>
      </c>
      <c r="G104" s="17">
        <v>520</v>
      </c>
      <c r="H104" s="17"/>
      <c r="I104" s="17">
        <v>1202</v>
      </c>
      <c r="J104" s="17">
        <v>412152.72</v>
      </c>
      <c r="K104" s="17"/>
      <c r="L104" s="17"/>
      <c r="M104" s="17">
        <v>52270.01</v>
      </c>
      <c r="N104" s="17"/>
      <c r="O104" s="17">
        <v>842369.37</v>
      </c>
      <c r="P104" s="17"/>
      <c r="Q104" s="83">
        <v>115823.55</v>
      </c>
      <c r="R104" s="83">
        <v>0</v>
      </c>
      <c r="S104" s="18">
        <f t="shared" si="45"/>
        <v>115823.55</v>
      </c>
      <c r="T104" s="19">
        <f t="shared" si="42"/>
        <v>0.64346416666666673</v>
      </c>
      <c r="U104" s="20">
        <f t="shared" si="47"/>
        <v>64176.45</v>
      </c>
      <c r="V104" s="21">
        <f t="shared" si="48"/>
        <v>0.35653583333333333</v>
      </c>
      <c r="W104" s="18">
        <f t="shared" ref="W104:W111" si="54">+D104-S104</f>
        <v>64176.45</v>
      </c>
      <c r="X104" s="19">
        <f t="shared" si="43"/>
        <v>0.35653583333333333</v>
      </c>
      <c r="AF104" s="4"/>
    </row>
    <row r="105" spans="1:32" s="3" customFormat="1" ht="15.75">
      <c r="A105" s="5"/>
      <c r="B105" s="69" t="s">
        <v>228</v>
      </c>
      <c r="C105" s="70" t="s">
        <v>113</v>
      </c>
      <c r="D105" s="78">
        <v>35000</v>
      </c>
      <c r="E105" s="17">
        <f t="shared" si="46"/>
        <v>2916.6666666666665</v>
      </c>
      <c r="F105" s="17"/>
      <c r="G105" s="17">
        <f>6395.6+66864.7</f>
        <v>73260.3</v>
      </c>
      <c r="H105" s="17">
        <v>6844</v>
      </c>
      <c r="I105" s="17">
        <f>397.99+8940.06+34964.7</f>
        <v>44302.75</v>
      </c>
      <c r="J105" s="17">
        <v>41404.03</v>
      </c>
      <c r="K105" s="17">
        <v>24190</v>
      </c>
      <c r="L105" s="17"/>
      <c r="M105" s="17">
        <v>62628.91</v>
      </c>
      <c r="N105" s="17"/>
      <c r="O105" s="17">
        <v>9999.91</v>
      </c>
      <c r="P105" s="17"/>
      <c r="Q105" s="83">
        <v>979.82</v>
      </c>
      <c r="R105" s="83">
        <v>0</v>
      </c>
      <c r="S105" s="18">
        <f t="shared" si="45"/>
        <v>979.82</v>
      </c>
      <c r="T105" s="19">
        <f t="shared" si="42"/>
        <v>2.7994857142857144E-2</v>
      </c>
      <c r="U105" s="20">
        <f t="shared" si="47"/>
        <v>34020.18</v>
      </c>
      <c r="V105" s="21">
        <f t="shared" si="48"/>
        <v>0.9720051428571429</v>
      </c>
      <c r="W105" s="18">
        <f t="shared" si="54"/>
        <v>34020.18</v>
      </c>
      <c r="X105" s="19">
        <f t="shared" si="43"/>
        <v>0.9720051428571429</v>
      </c>
      <c r="AF105" s="4"/>
    </row>
    <row r="106" spans="1:32" s="3" customFormat="1" ht="15.75">
      <c r="A106" s="5"/>
      <c r="B106" s="69" t="s">
        <v>229</v>
      </c>
      <c r="C106" s="70" t="s">
        <v>114</v>
      </c>
      <c r="D106" s="78">
        <v>150000</v>
      </c>
      <c r="E106" s="17">
        <f t="shared" si="46"/>
        <v>12500</v>
      </c>
      <c r="F106" s="17"/>
      <c r="G106" s="17"/>
      <c r="H106" s="17"/>
      <c r="I106" s="17">
        <v>2250.3000000000002</v>
      </c>
      <c r="J106" s="17"/>
      <c r="K106" s="17"/>
      <c r="L106" s="17"/>
      <c r="M106" s="17">
        <v>2085.02</v>
      </c>
      <c r="N106" s="17"/>
      <c r="O106" s="17">
        <v>147446.66</v>
      </c>
      <c r="P106" s="17"/>
      <c r="Q106" s="83">
        <v>0</v>
      </c>
      <c r="R106" s="83">
        <v>0</v>
      </c>
      <c r="S106" s="18">
        <f t="shared" si="45"/>
        <v>0</v>
      </c>
      <c r="T106" s="19">
        <f t="shared" si="42"/>
        <v>0</v>
      </c>
      <c r="U106" s="20">
        <f t="shared" si="47"/>
        <v>150000</v>
      </c>
      <c r="V106" s="21">
        <f t="shared" si="48"/>
        <v>1</v>
      </c>
      <c r="W106" s="18">
        <f t="shared" si="54"/>
        <v>150000</v>
      </c>
      <c r="X106" s="19">
        <f t="shared" si="43"/>
        <v>1</v>
      </c>
      <c r="AF106" s="4"/>
    </row>
    <row r="107" spans="1:32" s="3" customFormat="1" ht="15.75">
      <c r="A107" s="5"/>
      <c r="B107" s="69" t="s">
        <v>230</v>
      </c>
      <c r="C107" s="70" t="s">
        <v>115</v>
      </c>
      <c r="D107" s="78">
        <v>18000</v>
      </c>
      <c r="E107" s="17">
        <f t="shared" si="46"/>
        <v>1500</v>
      </c>
      <c r="F107" s="17"/>
      <c r="G107" s="17"/>
      <c r="H107" s="17">
        <v>28320</v>
      </c>
      <c r="I107" s="17"/>
      <c r="J107" s="17"/>
      <c r="K107" s="17"/>
      <c r="L107" s="17">
        <v>9440</v>
      </c>
      <c r="M107" s="17"/>
      <c r="N107" s="17"/>
      <c r="O107" s="17">
        <v>3835</v>
      </c>
      <c r="P107" s="17"/>
      <c r="Q107" s="83">
        <v>0</v>
      </c>
      <c r="R107" s="83">
        <v>0</v>
      </c>
      <c r="S107" s="18">
        <f t="shared" si="45"/>
        <v>0</v>
      </c>
      <c r="T107" s="19">
        <f t="shared" si="42"/>
        <v>0</v>
      </c>
      <c r="U107" s="20">
        <f t="shared" si="47"/>
        <v>18000</v>
      </c>
      <c r="V107" s="21">
        <f t="shared" si="48"/>
        <v>1</v>
      </c>
      <c r="W107" s="18">
        <f t="shared" si="54"/>
        <v>18000</v>
      </c>
      <c r="X107" s="19">
        <f t="shared" si="43"/>
        <v>1</v>
      </c>
    </row>
    <row r="108" spans="1:32" s="3" customFormat="1" ht="15.75">
      <c r="A108" s="5"/>
      <c r="B108" s="69" t="s">
        <v>231</v>
      </c>
      <c r="C108" s="70" t="s">
        <v>116</v>
      </c>
      <c r="D108" s="78">
        <v>500000</v>
      </c>
      <c r="E108" s="17">
        <f t="shared" si="46"/>
        <v>41666.666666666664</v>
      </c>
      <c r="F108" s="17">
        <v>34862.01</v>
      </c>
      <c r="G108" s="17">
        <v>53200.68</v>
      </c>
      <c r="H108" s="17">
        <v>74715.63</v>
      </c>
      <c r="I108" s="17">
        <v>41743.22</v>
      </c>
      <c r="J108" s="17">
        <v>555183.31000000006</v>
      </c>
      <c r="K108" s="17">
        <v>162005.66</v>
      </c>
      <c r="L108" s="17">
        <v>141856.70000000001</v>
      </c>
      <c r="M108" s="17">
        <v>204040.35</v>
      </c>
      <c r="N108" s="17">
        <v>803307.96</v>
      </c>
      <c r="O108" s="17">
        <v>503148.69</v>
      </c>
      <c r="P108" s="17">
        <v>782480.29</v>
      </c>
      <c r="Q108" s="83">
        <f>51026.67+1803.21</f>
        <v>52829.88</v>
      </c>
      <c r="R108" s="83">
        <f>80534.2+95.01+2080.36</f>
        <v>82709.569999999992</v>
      </c>
      <c r="S108" s="18">
        <f t="shared" si="45"/>
        <v>135539.44999999998</v>
      </c>
      <c r="T108" s="19">
        <f t="shared" si="42"/>
        <v>0.27107889999999996</v>
      </c>
      <c r="U108" s="20">
        <f t="shared" si="47"/>
        <v>364460.55000000005</v>
      </c>
      <c r="V108" s="21">
        <f t="shared" si="48"/>
        <v>0.7289211000000001</v>
      </c>
      <c r="W108" s="18">
        <f t="shared" si="54"/>
        <v>364460.55000000005</v>
      </c>
      <c r="X108" s="19">
        <f t="shared" si="43"/>
        <v>0.7289211000000001</v>
      </c>
    </row>
    <row r="109" spans="1:32" s="3" customFormat="1" ht="15.75" hidden="1">
      <c r="A109" s="5"/>
      <c r="B109" s="69" t="s">
        <v>117</v>
      </c>
      <c r="C109" s="70" t="s">
        <v>118</v>
      </c>
      <c r="D109" s="78">
        <v>0</v>
      </c>
      <c r="E109" s="17">
        <f t="shared" si="46"/>
        <v>0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83"/>
      <c r="R109" s="83"/>
      <c r="S109" s="18">
        <f t="shared" si="45"/>
        <v>0</v>
      </c>
      <c r="T109" s="19" t="e">
        <f t="shared" si="42"/>
        <v>#DIV/0!</v>
      </c>
      <c r="U109" s="20">
        <f t="shared" si="47"/>
        <v>0</v>
      </c>
      <c r="V109" s="21" t="e">
        <f t="shared" si="48"/>
        <v>#DIV/0!</v>
      </c>
      <c r="W109" s="18">
        <f t="shared" si="54"/>
        <v>0</v>
      </c>
      <c r="X109" s="19" t="e">
        <f t="shared" si="43"/>
        <v>#DIV/0!</v>
      </c>
    </row>
    <row r="110" spans="1:32" s="3" customFormat="1" ht="15.75" hidden="1">
      <c r="A110" s="5"/>
      <c r="B110" s="69" t="s">
        <v>119</v>
      </c>
      <c r="C110" s="70" t="s">
        <v>120</v>
      </c>
      <c r="D110" s="78">
        <v>0</v>
      </c>
      <c r="E110" s="17">
        <f t="shared" si="46"/>
        <v>0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83"/>
      <c r="R110" s="83"/>
      <c r="S110" s="18">
        <f t="shared" si="45"/>
        <v>0</v>
      </c>
      <c r="T110" s="19" t="e">
        <f t="shared" si="42"/>
        <v>#DIV/0!</v>
      </c>
      <c r="U110" s="20">
        <f t="shared" si="47"/>
        <v>0</v>
      </c>
      <c r="V110" s="21" t="e">
        <f t="shared" si="48"/>
        <v>#DIV/0!</v>
      </c>
      <c r="W110" s="18">
        <f t="shared" si="54"/>
        <v>0</v>
      </c>
      <c r="X110" s="19" t="e">
        <f t="shared" si="43"/>
        <v>#DIV/0!</v>
      </c>
    </row>
    <row r="111" spans="1:32" s="3" customFormat="1" ht="15.75">
      <c r="A111" s="5"/>
      <c r="B111" s="69" t="s">
        <v>232</v>
      </c>
      <c r="C111" s="70" t="s">
        <v>121</v>
      </c>
      <c r="D111" s="78">
        <v>100000</v>
      </c>
      <c r="E111" s="17">
        <f t="shared" si="46"/>
        <v>8333.3333333333339</v>
      </c>
      <c r="F111" s="17"/>
      <c r="G111" s="17"/>
      <c r="H111" s="17">
        <v>2100</v>
      </c>
      <c r="I111" s="17"/>
      <c r="J111" s="17">
        <v>70850</v>
      </c>
      <c r="K111" s="17"/>
      <c r="L111" s="17"/>
      <c r="M111" s="17">
        <f>613.2+4779</f>
        <v>5392.2</v>
      </c>
      <c r="N111" s="17"/>
      <c r="O111" s="17">
        <v>35950</v>
      </c>
      <c r="P111" s="17">
        <v>48000</v>
      </c>
      <c r="Q111" s="83">
        <v>4130</v>
      </c>
      <c r="R111" s="83">
        <v>278.89999999999998</v>
      </c>
      <c r="S111" s="18">
        <f t="shared" si="45"/>
        <v>4408.8999999999996</v>
      </c>
      <c r="T111" s="19">
        <f t="shared" si="42"/>
        <v>4.4088999999999996E-2</v>
      </c>
      <c r="U111" s="20">
        <f t="shared" si="47"/>
        <v>95591.1</v>
      </c>
      <c r="V111" s="21">
        <f t="shared" si="48"/>
        <v>0.95591100000000007</v>
      </c>
      <c r="W111" s="18">
        <f t="shared" si="54"/>
        <v>95591.1</v>
      </c>
      <c r="X111" s="19">
        <f t="shared" si="43"/>
        <v>0.95591100000000007</v>
      </c>
    </row>
    <row r="112" spans="1:32" s="3" customFormat="1" hidden="1">
      <c r="A112" s="5"/>
      <c r="B112" s="89" t="s">
        <v>122</v>
      </c>
      <c r="C112" s="15" t="s">
        <v>123</v>
      </c>
      <c r="D112" s="41">
        <v>0</v>
      </c>
      <c r="E112" s="17">
        <v>0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26"/>
      <c r="T112" s="26"/>
      <c r="U112" s="41">
        <v>0</v>
      </c>
      <c r="V112" s="41"/>
      <c r="W112" s="26"/>
      <c r="X112" s="26"/>
    </row>
    <row r="113" spans="1:32" s="37" customFormat="1">
      <c r="A113" s="36"/>
      <c r="B113" s="88" t="s">
        <v>124</v>
      </c>
      <c r="C113" s="24" t="s">
        <v>125</v>
      </c>
      <c r="D113" s="9">
        <f t="shared" ref="D113:P113" si="55">SUM(D114:D123)</f>
        <v>36182000</v>
      </c>
      <c r="E113" s="9">
        <f>SUM(E114:E123)</f>
        <v>3015166.666666667</v>
      </c>
      <c r="F113" s="10">
        <f t="shared" si="55"/>
        <v>3710521.47</v>
      </c>
      <c r="G113" s="10">
        <f t="shared" si="55"/>
        <v>2503005</v>
      </c>
      <c r="H113" s="10">
        <f t="shared" si="55"/>
        <v>3113172.1500000004</v>
      </c>
      <c r="I113" s="10">
        <f t="shared" si="55"/>
        <v>3181706.6900000004</v>
      </c>
      <c r="J113" s="10">
        <f t="shared" si="55"/>
        <v>4076066.84</v>
      </c>
      <c r="K113" s="10">
        <f t="shared" si="55"/>
        <v>2941358.8200000003</v>
      </c>
      <c r="L113" s="10">
        <f t="shared" si="55"/>
        <v>5189816.0900000008</v>
      </c>
      <c r="M113" s="10">
        <f t="shared" si="55"/>
        <v>4305803.0200000005</v>
      </c>
      <c r="N113" s="10">
        <f>SUM(N114:N123)</f>
        <v>1518101.39</v>
      </c>
      <c r="O113" s="10">
        <f>SUM(O114:O123)</f>
        <v>4224946.6000000006</v>
      </c>
      <c r="P113" s="10">
        <f t="shared" si="55"/>
        <v>2754687.01</v>
      </c>
      <c r="Q113" s="10">
        <f>SUM(Q114:Q123)</f>
        <v>1807352.5199999998</v>
      </c>
      <c r="R113" s="10">
        <f>SUM(R114:R123)</f>
        <v>634778.56000000006</v>
      </c>
      <c r="S113" s="11">
        <f>+S114+S115+S116+S118+S120+S123</f>
        <v>2441951.1299999994</v>
      </c>
      <c r="T113" s="12">
        <f t="shared" ref="T113:T129" si="56">+S113/D113</f>
        <v>6.7490772483555339E-2</v>
      </c>
      <c r="U113" s="13">
        <f t="shared" ref="U113:U129" si="57">+D113-S113</f>
        <v>33740048.869999997</v>
      </c>
      <c r="V113" s="14">
        <f t="shared" ref="V113:V129" si="58">+U113/D113</f>
        <v>0.93250922751644461</v>
      </c>
      <c r="W113" s="96">
        <f>+W114+W115+W116+W118+W120+W123</f>
        <v>33608048.869999997</v>
      </c>
      <c r="X113" s="97">
        <f t="shared" ref="X113:X129" si="59">+W113/D113</f>
        <v>0.92886100464319266</v>
      </c>
    </row>
    <row r="114" spans="1:32" s="3" customFormat="1" ht="15.75">
      <c r="A114" s="5"/>
      <c r="B114" s="73" t="s">
        <v>233</v>
      </c>
      <c r="C114" s="74" t="s">
        <v>126</v>
      </c>
      <c r="D114" s="76">
        <v>28000000</v>
      </c>
      <c r="E114" s="17">
        <f t="shared" ref="E114:E129" si="60">+D114/12</f>
        <v>2333333.3333333335</v>
      </c>
      <c r="F114" s="17">
        <f>2000+2724195.83</f>
        <v>2726195.83</v>
      </c>
      <c r="G114" s="17">
        <f>2000+1741600</f>
        <v>1743600</v>
      </c>
      <c r="H114" s="17">
        <f>2000+2169521.87</f>
        <v>2171521.87</v>
      </c>
      <c r="I114" s="17">
        <f>2000+2426646.88</f>
        <v>2428646.88</v>
      </c>
      <c r="J114" s="17">
        <f>2000+1595997.32+120296</f>
        <v>1718293.32</v>
      </c>
      <c r="K114" s="17">
        <f>2000+2067479.32</f>
        <v>2069479.32</v>
      </c>
      <c r="L114" s="17">
        <f>2000+4520485.43+121245.15</f>
        <v>4643730.58</v>
      </c>
      <c r="M114" s="17">
        <f>3237716.71+99756.39</f>
        <v>3337473.1</v>
      </c>
      <c r="N114" s="17">
        <v>1132305.74</v>
      </c>
      <c r="O114" s="17">
        <f>2244686.22+96660.4</f>
        <v>2341346.62</v>
      </c>
      <c r="P114" s="17">
        <f>1139770.04+7989.37</f>
        <v>1147759.4100000001</v>
      </c>
      <c r="Q114" s="83">
        <v>1100185.21</v>
      </c>
      <c r="R114" s="83">
        <v>206431.16</v>
      </c>
      <c r="S114" s="18">
        <f t="shared" ref="S114:S122" si="61">+Q114+R114</f>
        <v>1306616.3699999999</v>
      </c>
      <c r="T114" s="19">
        <f t="shared" si="56"/>
        <v>4.6664870357142854E-2</v>
      </c>
      <c r="U114" s="20">
        <f t="shared" si="57"/>
        <v>26693383.629999999</v>
      </c>
      <c r="V114" s="21">
        <f t="shared" si="58"/>
        <v>0.95333512964285716</v>
      </c>
      <c r="W114" s="18">
        <f t="shared" ref="W114:W123" si="62">+D114-S114</f>
        <v>26693383.629999999</v>
      </c>
      <c r="X114" s="19">
        <f t="shared" si="59"/>
        <v>0.95333512964285716</v>
      </c>
    </row>
    <row r="115" spans="1:32" s="3" customFormat="1" ht="15.75">
      <c r="A115" s="5"/>
      <c r="B115" s="73" t="s">
        <v>234</v>
      </c>
      <c r="C115" s="74" t="s">
        <v>127</v>
      </c>
      <c r="D115" s="76">
        <v>5000000</v>
      </c>
      <c r="E115" s="17">
        <f t="shared" si="60"/>
        <v>416666.66666666669</v>
      </c>
      <c r="F115" s="17">
        <v>818844.79</v>
      </c>
      <c r="G115" s="17">
        <v>522000</v>
      </c>
      <c r="H115" s="17">
        <v>724069.2</v>
      </c>
      <c r="I115" s="17">
        <v>530058.6</v>
      </c>
      <c r="J115" s="17">
        <v>872946.65</v>
      </c>
      <c r="K115" s="17">
        <v>694249.15</v>
      </c>
      <c r="L115" s="17">
        <v>282960.78000000003</v>
      </c>
      <c r="M115" s="17">
        <v>559580.89</v>
      </c>
      <c r="N115" s="17">
        <v>270838.67</v>
      </c>
      <c r="O115" s="17">
        <v>926029.93</v>
      </c>
      <c r="P115" s="17">
        <v>466856.25</v>
      </c>
      <c r="Q115" s="83">
        <v>567875.99</v>
      </c>
      <c r="R115" s="83">
        <v>257788.95</v>
      </c>
      <c r="S115" s="18">
        <f t="shared" si="61"/>
        <v>825664.94</v>
      </c>
      <c r="T115" s="19">
        <f t="shared" si="56"/>
        <v>0.16513298799999998</v>
      </c>
      <c r="U115" s="20">
        <f t="shared" si="57"/>
        <v>4174335.06</v>
      </c>
      <c r="V115" s="21">
        <f t="shared" si="58"/>
        <v>0.83486701200000002</v>
      </c>
      <c r="W115" s="18">
        <f t="shared" si="62"/>
        <v>4174335.06</v>
      </c>
      <c r="X115" s="19">
        <f t="shared" si="59"/>
        <v>0.83486701200000002</v>
      </c>
    </row>
    <row r="116" spans="1:32" s="22" customFormat="1" ht="15.75">
      <c r="A116" s="5"/>
      <c r="B116" s="73" t="s">
        <v>235</v>
      </c>
      <c r="C116" s="74" t="s">
        <v>128</v>
      </c>
      <c r="D116" s="76">
        <v>700000</v>
      </c>
      <c r="E116" s="17">
        <f t="shared" si="60"/>
        <v>58333.333333333336</v>
      </c>
      <c r="F116" s="17">
        <v>100989.67</v>
      </c>
      <c r="G116" s="17">
        <v>70361.5</v>
      </c>
      <c r="H116" s="17">
        <v>105489</v>
      </c>
      <c r="I116" s="17">
        <v>147046.29999999999</v>
      </c>
      <c r="J116" s="17">
        <v>100441.3</v>
      </c>
      <c r="K116" s="17">
        <v>103743.6</v>
      </c>
      <c r="L116" s="17">
        <v>118715.2</v>
      </c>
      <c r="M116" s="17">
        <v>121562.62</v>
      </c>
      <c r="N116" s="17">
        <v>57080.2</v>
      </c>
      <c r="O116" s="17">
        <v>174726.23</v>
      </c>
      <c r="P116" s="17">
        <v>8992.9</v>
      </c>
      <c r="Q116" s="83">
        <v>0</v>
      </c>
      <c r="R116" s="83">
        <v>95658</v>
      </c>
      <c r="S116" s="18">
        <f t="shared" si="61"/>
        <v>95658</v>
      </c>
      <c r="T116" s="19">
        <f t="shared" si="56"/>
        <v>0.13665428571428573</v>
      </c>
      <c r="U116" s="20">
        <f t="shared" si="57"/>
        <v>604342</v>
      </c>
      <c r="V116" s="21">
        <f t="shared" si="58"/>
        <v>0.86334571428571427</v>
      </c>
      <c r="W116" s="18">
        <f t="shared" si="62"/>
        <v>604342</v>
      </c>
      <c r="X116" s="19">
        <f t="shared" si="59"/>
        <v>0.86334571428571427</v>
      </c>
      <c r="Y116" s="3"/>
      <c r="Z116" s="3"/>
      <c r="AA116" s="3"/>
      <c r="AB116" s="3"/>
      <c r="AC116" s="3"/>
      <c r="AD116" s="3"/>
      <c r="AE116" s="3"/>
      <c r="AF116" s="3"/>
    </row>
    <row r="117" spans="1:32" s="22" customFormat="1" ht="15.75" hidden="1">
      <c r="A117" s="5"/>
      <c r="B117" s="73" t="s">
        <v>129</v>
      </c>
      <c r="C117" s="74" t="s">
        <v>130</v>
      </c>
      <c r="D117" s="79"/>
      <c r="E117" s="17">
        <f t="shared" si="60"/>
        <v>0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83"/>
      <c r="R117" s="83"/>
      <c r="S117" s="18">
        <f t="shared" si="61"/>
        <v>0</v>
      </c>
      <c r="T117" s="19" t="e">
        <f t="shared" si="56"/>
        <v>#DIV/0!</v>
      </c>
      <c r="U117" s="20">
        <f t="shared" si="57"/>
        <v>0</v>
      </c>
      <c r="V117" s="21" t="e">
        <f t="shared" si="58"/>
        <v>#DIV/0!</v>
      </c>
      <c r="W117" s="18">
        <f t="shared" si="62"/>
        <v>0</v>
      </c>
      <c r="X117" s="19" t="e">
        <f t="shared" si="59"/>
        <v>#DIV/0!</v>
      </c>
      <c r="Y117" s="3"/>
      <c r="Z117" s="3"/>
      <c r="AA117" s="3"/>
      <c r="AB117" s="3"/>
      <c r="AC117" s="3"/>
      <c r="AD117" s="3"/>
      <c r="AE117" s="3"/>
      <c r="AF117" s="3"/>
    </row>
    <row r="118" spans="1:32" s="22" customFormat="1" ht="15.75">
      <c r="A118" s="5"/>
      <c r="B118" s="73" t="s">
        <v>236</v>
      </c>
      <c r="C118" s="74" t="s">
        <v>131</v>
      </c>
      <c r="D118" s="76">
        <v>1500000</v>
      </c>
      <c r="E118" s="17">
        <f t="shared" si="60"/>
        <v>125000</v>
      </c>
      <c r="F118" s="17">
        <f>54523.96+244.95</f>
        <v>54768.909999999996</v>
      </c>
      <c r="G118" s="17">
        <f>29736+105625.1</f>
        <v>135361.1</v>
      </c>
      <c r="H118" s="17">
        <f>2292.79+105704.29</f>
        <v>107997.07999999999</v>
      </c>
      <c r="I118" s="17">
        <v>54411.72</v>
      </c>
      <c r="J118" s="17">
        <f>885+166637.23</f>
        <v>167522.23000000001</v>
      </c>
      <c r="K118" s="17">
        <f>200+55834.83+7385.62</f>
        <v>63420.450000000004</v>
      </c>
      <c r="L118" s="17">
        <f>1380+102976.16</f>
        <v>104356.16</v>
      </c>
      <c r="M118" s="17">
        <v>177859.67</v>
      </c>
      <c r="N118" s="17">
        <f>56364.73+225</f>
        <v>56589.73</v>
      </c>
      <c r="O118" s="17">
        <v>163233.42000000001</v>
      </c>
      <c r="P118" s="17">
        <f>2353.05+55425.21</f>
        <v>57778.26</v>
      </c>
      <c r="Q118" s="83">
        <v>57581.68</v>
      </c>
      <c r="R118" s="83">
        <f>324.5+54823.43+3160</f>
        <v>58307.93</v>
      </c>
      <c r="S118" s="18">
        <f t="shared" si="61"/>
        <v>115889.61</v>
      </c>
      <c r="T118" s="19">
        <f t="shared" si="56"/>
        <v>7.7259740000000007E-2</v>
      </c>
      <c r="U118" s="20">
        <f t="shared" si="57"/>
        <v>1384110.39</v>
      </c>
      <c r="V118" s="21">
        <f t="shared" si="58"/>
        <v>0.92274025999999998</v>
      </c>
      <c r="W118" s="18">
        <f t="shared" si="62"/>
        <v>1384110.39</v>
      </c>
      <c r="X118" s="19">
        <f t="shared" si="59"/>
        <v>0.92274025999999998</v>
      </c>
      <c r="Y118" s="3"/>
      <c r="Z118" s="3"/>
      <c r="AA118" s="3"/>
      <c r="AB118" s="3"/>
      <c r="AC118" s="3"/>
      <c r="AD118" s="3"/>
      <c r="AE118" s="3"/>
      <c r="AF118" s="3"/>
    </row>
    <row r="119" spans="1:32" s="22" customFormat="1" ht="15.75" hidden="1">
      <c r="A119" s="5"/>
      <c r="B119" s="80" t="s">
        <v>132</v>
      </c>
      <c r="C119" s="74" t="s">
        <v>133</v>
      </c>
      <c r="D119" s="79"/>
      <c r="E119" s="17">
        <f t="shared" si="60"/>
        <v>0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83"/>
      <c r="R119" s="83"/>
      <c r="S119" s="18">
        <f t="shared" si="61"/>
        <v>0</v>
      </c>
      <c r="T119" s="19" t="e">
        <f t="shared" si="56"/>
        <v>#DIV/0!</v>
      </c>
      <c r="U119" s="20">
        <f t="shared" si="57"/>
        <v>0</v>
      </c>
      <c r="V119" s="21" t="e">
        <f t="shared" si="58"/>
        <v>#DIV/0!</v>
      </c>
      <c r="W119" s="18">
        <f t="shared" si="62"/>
        <v>0</v>
      </c>
      <c r="X119" s="19" t="e">
        <f t="shared" si="59"/>
        <v>#DIV/0!</v>
      </c>
      <c r="Y119" s="3"/>
      <c r="Z119" s="3"/>
      <c r="AA119" s="3"/>
      <c r="AB119" s="3"/>
      <c r="AC119" s="3"/>
      <c r="AD119" s="3"/>
      <c r="AE119" s="3"/>
      <c r="AF119" s="3"/>
    </row>
    <row r="120" spans="1:32" s="22" customFormat="1" ht="15.75">
      <c r="A120" s="5"/>
      <c r="B120" s="80" t="s">
        <v>237</v>
      </c>
      <c r="C120" s="74" t="s">
        <v>134</v>
      </c>
      <c r="D120" s="76">
        <v>300000</v>
      </c>
      <c r="E120" s="17">
        <f t="shared" si="60"/>
        <v>25000</v>
      </c>
      <c r="F120" s="17"/>
      <c r="G120" s="17"/>
      <c r="H120" s="17">
        <v>420</v>
      </c>
      <c r="I120" s="17">
        <f>297+294.99</f>
        <v>591.99</v>
      </c>
      <c r="J120" s="17"/>
      <c r="K120" s="17">
        <v>10466.299999999999</v>
      </c>
      <c r="L120" s="17">
        <v>1075.07</v>
      </c>
      <c r="M120" s="17"/>
      <c r="N120" s="17">
        <v>765.05</v>
      </c>
      <c r="O120" s="17"/>
      <c r="P120" s="17">
        <v>205</v>
      </c>
      <c r="Q120" s="83">
        <v>77897.7</v>
      </c>
      <c r="R120" s="83">
        <v>0</v>
      </c>
      <c r="S120" s="18">
        <f t="shared" si="61"/>
        <v>77897.7</v>
      </c>
      <c r="T120" s="19">
        <f t="shared" si="56"/>
        <v>0.25965899999999997</v>
      </c>
      <c r="U120" s="20">
        <f t="shared" si="57"/>
        <v>222102.3</v>
      </c>
      <c r="V120" s="21">
        <f t="shared" si="58"/>
        <v>0.74034099999999992</v>
      </c>
      <c r="W120" s="18">
        <f t="shared" si="62"/>
        <v>222102.3</v>
      </c>
      <c r="X120" s="19">
        <f t="shared" si="59"/>
        <v>0.74034099999999992</v>
      </c>
      <c r="Y120" s="3"/>
      <c r="Z120" s="3"/>
      <c r="AA120" s="3"/>
      <c r="AB120" s="3"/>
      <c r="AC120" s="3"/>
      <c r="AD120" s="3"/>
      <c r="AE120" s="3"/>
      <c r="AF120" s="3"/>
    </row>
    <row r="121" spans="1:32" s="22" customFormat="1" ht="15.75" hidden="1">
      <c r="A121" s="5"/>
      <c r="B121" s="80" t="s">
        <v>135</v>
      </c>
      <c r="C121" s="74" t="s">
        <v>136</v>
      </c>
      <c r="D121" s="79"/>
      <c r="E121" s="17">
        <f t="shared" si="60"/>
        <v>0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83"/>
      <c r="R121" s="83"/>
      <c r="S121" s="18">
        <f t="shared" si="61"/>
        <v>0</v>
      </c>
      <c r="T121" s="19" t="e">
        <f t="shared" si="56"/>
        <v>#DIV/0!</v>
      </c>
      <c r="U121" s="20">
        <f t="shared" si="57"/>
        <v>0</v>
      </c>
      <c r="V121" s="21" t="e">
        <f t="shared" si="58"/>
        <v>#DIV/0!</v>
      </c>
      <c r="W121" s="18">
        <f t="shared" si="62"/>
        <v>0</v>
      </c>
      <c r="X121" s="19" t="e">
        <f t="shared" si="59"/>
        <v>#DIV/0!</v>
      </c>
      <c r="Y121" s="3"/>
      <c r="Z121" s="3"/>
      <c r="AA121" s="3"/>
      <c r="AB121" s="3"/>
      <c r="AC121" s="3"/>
      <c r="AD121" s="3"/>
      <c r="AE121" s="3"/>
      <c r="AF121" s="3"/>
    </row>
    <row r="122" spans="1:32" s="22" customFormat="1" ht="15.75">
      <c r="A122" s="5"/>
      <c r="B122" s="80" t="s">
        <v>238</v>
      </c>
      <c r="C122" s="74" t="s">
        <v>137</v>
      </c>
      <c r="D122" s="76">
        <v>132000</v>
      </c>
      <c r="E122" s="17">
        <f t="shared" si="60"/>
        <v>11000</v>
      </c>
      <c r="F122" s="17">
        <v>269</v>
      </c>
      <c r="G122" s="17">
        <v>14600</v>
      </c>
      <c r="H122" s="17">
        <v>840</v>
      </c>
      <c r="I122" s="17">
        <f>750+134.95</f>
        <v>884.95</v>
      </c>
      <c r="J122" s="17">
        <v>1700</v>
      </c>
      <c r="K122" s="17"/>
      <c r="L122" s="17"/>
      <c r="M122" s="17"/>
      <c r="N122" s="17"/>
      <c r="O122" s="17">
        <v>290</v>
      </c>
      <c r="P122" s="17">
        <v>1000</v>
      </c>
      <c r="Q122" s="83">
        <v>179.95</v>
      </c>
      <c r="R122" s="83">
        <v>0</v>
      </c>
      <c r="S122" s="18">
        <f t="shared" si="61"/>
        <v>179.95</v>
      </c>
      <c r="T122" s="19">
        <f t="shared" si="56"/>
        <v>1.3632575757575756E-3</v>
      </c>
      <c r="U122" s="20">
        <f t="shared" si="57"/>
        <v>131820.04999999999</v>
      </c>
      <c r="V122" s="21">
        <f t="shared" si="58"/>
        <v>0.99863674242424239</v>
      </c>
      <c r="W122" s="18">
        <f t="shared" si="62"/>
        <v>131820.04999999999</v>
      </c>
      <c r="X122" s="19">
        <f t="shared" si="59"/>
        <v>0.99863674242424239</v>
      </c>
      <c r="Y122" s="3"/>
      <c r="Z122" s="3"/>
      <c r="AA122" s="3"/>
      <c r="AB122" s="3"/>
      <c r="AC122" s="3"/>
      <c r="AD122" s="3"/>
      <c r="AE122" s="3"/>
      <c r="AF122" s="3"/>
    </row>
    <row r="123" spans="1:32" s="22" customFormat="1" ht="15.75">
      <c r="A123" s="5"/>
      <c r="B123" s="80" t="s">
        <v>239</v>
      </c>
      <c r="C123" s="74" t="s">
        <v>138</v>
      </c>
      <c r="D123" s="76">
        <v>550000</v>
      </c>
      <c r="E123" s="17">
        <f t="shared" si="60"/>
        <v>45833.333333333336</v>
      </c>
      <c r="F123" s="17">
        <v>9453.27</v>
      </c>
      <c r="G123" s="17">
        <v>17082.400000000001</v>
      </c>
      <c r="H123" s="17">
        <v>2835</v>
      </c>
      <c r="I123" s="17">
        <v>20066.25</v>
      </c>
      <c r="J123" s="17">
        <v>1215163.3400000001</v>
      </c>
      <c r="K123" s="17"/>
      <c r="L123" s="17">
        <v>38978.300000000003</v>
      </c>
      <c r="M123" s="17">
        <v>109326.74</v>
      </c>
      <c r="N123" s="17">
        <v>522</v>
      </c>
      <c r="O123" s="17">
        <v>619320.4</v>
      </c>
      <c r="P123" s="17">
        <v>1072095.19</v>
      </c>
      <c r="Q123" s="83">
        <f>3441.99+190</f>
        <v>3631.99</v>
      </c>
      <c r="R123" s="83">
        <v>16592.52</v>
      </c>
      <c r="S123" s="18">
        <f>+Q123+R123</f>
        <v>20224.510000000002</v>
      </c>
      <c r="T123" s="19">
        <f t="shared" si="56"/>
        <v>3.6771836363636366E-2</v>
      </c>
      <c r="U123" s="20">
        <f t="shared" si="57"/>
        <v>529775.49</v>
      </c>
      <c r="V123" s="21">
        <f t="shared" si="58"/>
        <v>0.96322816363636365</v>
      </c>
      <c r="W123" s="18">
        <f t="shared" si="62"/>
        <v>529775.49</v>
      </c>
      <c r="X123" s="19">
        <f t="shared" si="59"/>
        <v>0.96322816363636365</v>
      </c>
      <c r="Y123" s="3"/>
      <c r="Z123" s="3"/>
      <c r="AA123" s="3"/>
      <c r="AB123" s="3"/>
      <c r="AC123" s="3"/>
      <c r="AD123" s="3"/>
      <c r="AE123" s="3"/>
      <c r="AF123" s="3"/>
    </row>
    <row r="124" spans="1:32" s="22" customFormat="1">
      <c r="A124" s="5"/>
      <c r="B124" s="88" t="s">
        <v>139</v>
      </c>
      <c r="C124" s="24" t="s">
        <v>140</v>
      </c>
      <c r="D124" s="9">
        <f t="shared" ref="D124:P124" si="63">SUM(D125:D129)</f>
        <v>3220000</v>
      </c>
      <c r="E124" s="9">
        <f>SUM(E125:E129)</f>
        <v>268333.33333333337</v>
      </c>
      <c r="F124" s="10">
        <f t="shared" si="63"/>
        <v>456653.12</v>
      </c>
      <c r="G124" s="10">
        <f t="shared" si="63"/>
        <v>859860.41</v>
      </c>
      <c r="H124" s="10">
        <f t="shared" si="63"/>
        <v>42683.08</v>
      </c>
      <c r="I124" s="10">
        <f t="shared" si="63"/>
        <v>545327.33000000007</v>
      </c>
      <c r="J124" s="10">
        <f t="shared" si="63"/>
        <v>148469.95000000001</v>
      </c>
      <c r="K124" s="10">
        <f t="shared" si="63"/>
        <v>295564.21999999997</v>
      </c>
      <c r="L124" s="10">
        <f t="shared" si="63"/>
        <v>435915.19999999995</v>
      </c>
      <c r="M124" s="10">
        <f t="shared" si="63"/>
        <v>1980761.6300000001</v>
      </c>
      <c r="N124" s="10">
        <f>SUM(N125:N129)</f>
        <v>37569.440000000002</v>
      </c>
      <c r="O124" s="10">
        <f>SUM(O125:O129)</f>
        <v>990494.22</v>
      </c>
      <c r="P124" s="10">
        <f t="shared" si="63"/>
        <v>194985.87</v>
      </c>
      <c r="Q124" s="10">
        <f>SUM(Q125:Q129)</f>
        <v>253337.21</v>
      </c>
      <c r="R124" s="10">
        <f>+R125+R126+R127+R128+R129</f>
        <v>26639.199999999997</v>
      </c>
      <c r="S124" s="11">
        <f>+S125+S126+S127+S128+S129</f>
        <v>279976.41000000003</v>
      </c>
      <c r="T124" s="12">
        <f t="shared" si="56"/>
        <v>8.6949195652173919E-2</v>
      </c>
      <c r="U124" s="13">
        <f t="shared" si="57"/>
        <v>2940023.59</v>
      </c>
      <c r="V124" s="14">
        <f t="shared" si="58"/>
        <v>0.91305080434782604</v>
      </c>
      <c r="W124" s="96">
        <f>+W125+W126+W127+W128+W129</f>
        <v>2940023.59</v>
      </c>
      <c r="X124" s="97">
        <f t="shared" si="59"/>
        <v>0.91305080434782604</v>
      </c>
      <c r="Y124" s="3"/>
      <c r="Z124" s="3"/>
      <c r="AA124" s="3"/>
      <c r="AB124" s="3"/>
      <c r="AC124" s="3"/>
      <c r="AD124" s="3"/>
      <c r="AE124" s="3"/>
      <c r="AF124" s="3"/>
    </row>
    <row r="125" spans="1:32" s="22" customFormat="1" ht="15.75">
      <c r="A125" s="5"/>
      <c r="B125" s="69" t="s">
        <v>240</v>
      </c>
      <c r="C125" s="70" t="s">
        <v>141</v>
      </c>
      <c r="D125" s="76">
        <v>800000</v>
      </c>
      <c r="E125" s="17">
        <f t="shared" si="60"/>
        <v>66666.666666666672</v>
      </c>
      <c r="F125" s="17">
        <v>1918.83</v>
      </c>
      <c r="G125" s="17">
        <v>241805.66</v>
      </c>
      <c r="H125" s="17">
        <v>2115.25</v>
      </c>
      <c r="I125" s="17">
        <v>669.95</v>
      </c>
      <c r="J125" s="17">
        <v>2433.64</v>
      </c>
      <c r="K125" s="17">
        <v>283</v>
      </c>
      <c r="L125" s="17">
        <v>117606.95</v>
      </c>
      <c r="M125" s="17">
        <v>7016.31</v>
      </c>
      <c r="N125" s="17">
        <v>3115.67</v>
      </c>
      <c r="O125" s="17">
        <v>520551.34</v>
      </c>
      <c r="P125" s="17">
        <v>3262.31</v>
      </c>
      <c r="Q125" s="83">
        <v>566</v>
      </c>
      <c r="R125" s="83">
        <v>2863.92</v>
      </c>
      <c r="S125" s="18">
        <f t="shared" ref="S125:S129" si="64">+Q125+R125</f>
        <v>3429.92</v>
      </c>
      <c r="T125" s="19">
        <f t="shared" si="56"/>
        <v>4.2874000000000002E-3</v>
      </c>
      <c r="U125" s="20">
        <f t="shared" si="57"/>
        <v>796570.08</v>
      </c>
      <c r="V125" s="21">
        <f t="shared" si="58"/>
        <v>0.99571259999999995</v>
      </c>
      <c r="W125" s="18">
        <f>+D125-S125</f>
        <v>796570.08</v>
      </c>
      <c r="X125" s="19">
        <f t="shared" si="59"/>
        <v>0.99571259999999995</v>
      </c>
      <c r="Y125" s="3"/>
      <c r="Z125" s="3"/>
      <c r="AA125" s="3"/>
      <c r="AB125" s="3"/>
      <c r="AC125" s="3"/>
      <c r="AD125" s="3"/>
      <c r="AE125" s="3"/>
      <c r="AF125" s="3"/>
    </row>
    <row r="126" spans="1:32" s="22" customFormat="1" ht="15.75">
      <c r="A126" s="5"/>
      <c r="B126" s="69" t="s">
        <v>241</v>
      </c>
      <c r="C126" s="70" t="s">
        <v>142</v>
      </c>
      <c r="D126" s="76">
        <v>1570000</v>
      </c>
      <c r="E126" s="17">
        <f t="shared" si="60"/>
        <v>130833.33333333333</v>
      </c>
      <c r="F126" s="17">
        <v>113593.11</v>
      </c>
      <c r="G126" s="17">
        <v>347033.35</v>
      </c>
      <c r="H126" s="17">
        <v>16747.7</v>
      </c>
      <c r="I126" s="17">
        <v>250069.25</v>
      </c>
      <c r="J126" s="17">
        <v>19488.72</v>
      </c>
      <c r="K126" s="17">
        <v>7490.02</v>
      </c>
      <c r="L126" s="17">
        <v>184827.97</v>
      </c>
      <c r="M126" s="17">
        <v>961886.64</v>
      </c>
      <c r="N126" s="17">
        <v>21585.97</v>
      </c>
      <c r="O126" s="17">
        <v>254801.52</v>
      </c>
      <c r="P126" s="17">
        <v>30385.7</v>
      </c>
      <c r="Q126" s="83">
        <v>17290.84</v>
      </c>
      <c r="R126" s="83">
        <v>16325.65</v>
      </c>
      <c r="S126" s="18">
        <f t="shared" si="64"/>
        <v>33616.49</v>
      </c>
      <c r="T126" s="19">
        <f t="shared" si="56"/>
        <v>2.1411777070063694E-2</v>
      </c>
      <c r="U126" s="20">
        <f t="shared" si="57"/>
        <v>1536383.51</v>
      </c>
      <c r="V126" s="21">
        <f t="shared" si="58"/>
        <v>0.9785882229299363</v>
      </c>
      <c r="W126" s="18">
        <f>+D126-S126</f>
        <v>1536383.51</v>
      </c>
      <c r="X126" s="19">
        <f t="shared" si="59"/>
        <v>0.9785882229299363</v>
      </c>
      <c r="Y126" s="3"/>
      <c r="Z126" s="3"/>
      <c r="AA126" s="3"/>
      <c r="AB126" s="3"/>
      <c r="AC126" s="3"/>
      <c r="AD126" s="3"/>
      <c r="AE126" s="3"/>
      <c r="AF126" s="3"/>
    </row>
    <row r="127" spans="1:32" s="22" customFormat="1" ht="15.75">
      <c r="A127" s="5"/>
      <c r="B127" s="69" t="s">
        <v>242</v>
      </c>
      <c r="C127" s="70" t="s">
        <v>143</v>
      </c>
      <c r="D127" s="76">
        <v>250000</v>
      </c>
      <c r="E127" s="17">
        <f t="shared" si="60"/>
        <v>20833.333333333332</v>
      </c>
      <c r="F127" s="17"/>
      <c r="G127" s="17"/>
      <c r="H127" s="17"/>
      <c r="I127" s="17"/>
      <c r="J127" s="17"/>
      <c r="K127" s="17"/>
      <c r="L127" s="17">
        <v>338.98</v>
      </c>
      <c r="M127" s="17"/>
      <c r="N127" s="17"/>
      <c r="O127" s="17"/>
      <c r="P127" s="17"/>
      <c r="Q127" s="83">
        <v>69832.399999999994</v>
      </c>
      <c r="R127" s="83">
        <v>1064.94</v>
      </c>
      <c r="S127" s="18">
        <f t="shared" si="64"/>
        <v>70897.34</v>
      </c>
      <c r="T127" s="19">
        <f t="shared" si="56"/>
        <v>0.28358936000000001</v>
      </c>
      <c r="U127" s="20">
        <f t="shared" si="57"/>
        <v>179102.66</v>
      </c>
      <c r="V127" s="21">
        <f t="shared" si="58"/>
        <v>0.71641063999999999</v>
      </c>
      <c r="W127" s="18">
        <f>+D127-S127</f>
        <v>179102.66</v>
      </c>
      <c r="X127" s="19">
        <f t="shared" si="59"/>
        <v>0.71641063999999999</v>
      </c>
      <c r="Y127" s="3"/>
      <c r="Z127" s="3"/>
      <c r="AA127" s="3"/>
      <c r="AB127" s="3"/>
      <c r="AC127" s="3"/>
      <c r="AD127" s="3"/>
      <c r="AE127" s="3"/>
      <c r="AF127" s="3"/>
    </row>
    <row r="128" spans="1:32" s="22" customFormat="1" ht="15.75">
      <c r="A128" s="5"/>
      <c r="B128" s="69" t="s">
        <v>243</v>
      </c>
      <c r="C128" s="70" t="s">
        <v>144</v>
      </c>
      <c r="D128" s="76">
        <v>100000</v>
      </c>
      <c r="E128" s="17">
        <f t="shared" si="60"/>
        <v>8333.3333333333339</v>
      </c>
      <c r="F128" s="17"/>
      <c r="G128" s="17">
        <v>78.900000000000006</v>
      </c>
      <c r="H128" s="17">
        <v>555</v>
      </c>
      <c r="I128" s="17">
        <v>589</v>
      </c>
      <c r="J128" s="17"/>
      <c r="K128" s="17">
        <v>1029.58</v>
      </c>
      <c r="L128" s="17">
        <v>740</v>
      </c>
      <c r="M128" s="17"/>
      <c r="N128" s="17">
        <v>1134</v>
      </c>
      <c r="O128" s="17">
        <v>1095</v>
      </c>
      <c r="P128" s="17">
        <v>2533.9</v>
      </c>
      <c r="Q128" s="83">
        <v>1914.19</v>
      </c>
      <c r="R128" s="83">
        <v>6384.69</v>
      </c>
      <c r="S128" s="18">
        <f t="shared" si="64"/>
        <v>8298.8799999999992</v>
      </c>
      <c r="T128" s="19">
        <f t="shared" si="56"/>
        <v>8.2988799999999988E-2</v>
      </c>
      <c r="U128" s="20">
        <f t="shared" si="57"/>
        <v>91701.119999999995</v>
      </c>
      <c r="V128" s="21">
        <f t="shared" si="58"/>
        <v>0.91701119999999992</v>
      </c>
      <c r="W128" s="18">
        <f>+D128-S128</f>
        <v>91701.119999999995</v>
      </c>
      <c r="X128" s="19">
        <f t="shared" si="59"/>
        <v>0.91701119999999992</v>
      </c>
      <c r="Y128" s="3"/>
      <c r="Z128" s="3"/>
      <c r="AA128" s="3"/>
      <c r="AB128" s="3"/>
      <c r="AC128" s="3"/>
      <c r="AD128" s="3"/>
      <c r="AE128" s="3"/>
      <c r="AF128" s="3"/>
    </row>
    <row r="129" spans="1:32" s="22" customFormat="1" ht="15.75">
      <c r="A129" s="5"/>
      <c r="B129" s="69" t="s">
        <v>244</v>
      </c>
      <c r="C129" s="74" t="s">
        <v>145</v>
      </c>
      <c r="D129" s="76">
        <v>500000</v>
      </c>
      <c r="E129" s="17">
        <f t="shared" si="60"/>
        <v>41666.666666666664</v>
      </c>
      <c r="F129" s="17">
        <v>341141.18</v>
      </c>
      <c r="G129" s="17">
        <v>270942.5</v>
      </c>
      <c r="H129" s="17">
        <v>23265.13</v>
      </c>
      <c r="I129" s="17">
        <v>293999.13</v>
      </c>
      <c r="J129" s="17">
        <v>126547.59</v>
      </c>
      <c r="K129" s="17">
        <v>286761.62</v>
      </c>
      <c r="L129" s="17">
        <v>132401.29999999999</v>
      </c>
      <c r="M129" s="17">
        <v>1011858.68</v>
      </c>
      <c r="N129" s="17">
        <v>11733.8</v>
      </c>
      <c r="O129" s="17">
        <v>214046.36</v>
      </c>
      <c r="P129" s="17">
        <v>158803.96</v>
      </c>
      <c r="Q129" s="83">
        <v>163733.78</v>
      </c>
      <c r="R129" s="83">
        <v>0</v>
      </c>
      <c r="S129" s="18">
        <f t="shared" si="64"/>
        <v>163733.78</v>
      </c>
      <c r="T129" s="19">
        <f t="shared" si="56"/>
        <v>0.32746755999999999</v>
      </c>
      <c r="U129" s="20">
        <f t="shared" si="57"/>
        <v>336266.22</v>
      </c>
      <c r="V129" s="21">
        <f t="shared" si="58"/>
        <v>0.6725324399999999</v>
      </c>
      <c r="W129" s="18">
        <f>+D129-S129</f>
        <v>336266.22</v>
      </c>
      <c r="X129" s="19">
        <f t="shared" si="59"/>
        <v>0.6725324399999999</v>
      </c>
      <c r="Y129" s="3"/>
      <c r="Z129" s="3"/>
      <c r="AA129" s="3"/>
      <c r="AB129" s="3"/>
      <c r="AC129" s="3"/>
      <c r="AD129" s="3"/>
      <c r="AE129" s="3"/>
      <c r="AF129" s="3"/>
    </row>
    <row r="130" spans="1:32" s="22" customFormat="1" hidden="1">
      <c r="A130" s="5"/>
      <c r="B130" s="89" t="s">
        <v>146</v>
      </c>
      <c r="C130" s="15" t="s">
        <v>147</v>
      </c>
      <c r="D130" s="38"/>
      <c r="E130" s="17">
        <v>0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26"/>
      <c r="T130" s="26"/>
      <c r="U130" s="38"/>
      <c r="V130" s="38"/>
      <c r="W130" s="26"/>
      <c r="X130" s="26"/>
      <c r="Y130" s="3"/>
      <c r="Z130" s="3"/>
      <c r="AA130" s="3"/>
      <c r="AB130" s="3"/>
      <c r="AC130" s="3"/>
      <c r="AD130" s="3"/>
      <c r="AE130" s="3"/>
      <c r="AF130" s="3"/>
    </row>
    <row r="131" spans="1:32" s="3" customFormat="1" hidden="1">
      <c r="A131" s="5"/>
      <c r="B131" s="92" t="s">
        <v>148</v>
      </c>
      <c r="C131" s="15" t="s">
        <v>149</v>
      </c>
      <c r="D131" s="38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26"/>
      <c r="T131" s="26"/>
      <c r="U131" s="38"/>
      <c r="V131" s="38"/>
      <c r="W131" s="26"/>
      <c r="X131" s="26"/>
    </row>
    <row r="132" spans="1:32" s="3" customFormat="1">
      <c r="A132" s="5"/>
      <c r="B132" s="88" t="s">
        <v>150</v>
      </c>
      <c r="C132" s="24" t="s">
        <v>151</v>
      </c>
      <c r="D132" s="9">
        <f t="shared" ref="D132:P132" si="65">SUM(D133:D135)</f>
        <v>2044800</v>
      </c>
      <c r="E132" s="9">
        <f>SUM(E133:E135)</f>
        <v>170400</v>
      </c>
      <c r="F132" s="10">
        <f t="shared" si="65"/>
        <v>78000</v>
      </c>
      <c r="G132" s="10">
        <f t="shared" si="65"/>
        <v>78000</v>
      </c>
      <c r="H132" s="10">
        <f t="shared" si="65"/>
        <v>128000</v>
      </c>
      <c r="I132" s="10">
        <f t="shared" si="65"/>
        <v>158000</v>
      </c>
      <c r="J132" s="10">
        <f t="shared" si="65"/>
        <v>623000</v>
      </c>
      <c r="K132" s="10">
        <f t="shared" si="65"/>
        <v>78000</v>
      </c>
      <c r="L132" s="10">
        <f t="shared" si="65"/>
        <v>38000</v>
      </c>
      <c r="M132" s="10">
        <f t="shared" si="65"/>
        <v>38000</v>
      </c>
      <c r="N132" s="10">
        <f>SUM(N133:N135)</f>
        <v>191709.9</v>
      </c>
      <c r="O132" s="10">
        <f t="shared" si="65"/>
        <v>128000</v>
      </c>
      <c r="P132" s="10">
        <f t="shared" si="65"/>
        <v>669000</v>
      </c>
      <c r="Q132" s="10">
        <f>+Q134+Q135</f>
        <v>191840</v>
      </c>
      <c r="R132" s="10">
        <f>+R134+R135</f>
        <v>304345</v>
      </c>
      <c r="S132" s="11">
        <f>+S134+S135</f>
        <v>496185</v>
      </c>
      <c r="T132" s="12">
        <f>+S132/D132</f>
        <v>0.24265698356807511</v>
      </c>
      <c r="U132" s="13">
        <f>+D132-S132</f>
        <v>1548615</v>
      </c>
      <c r="V132" s="14">
        <f>+U132/D132</f>
        <v>0.75734301643192492</v>
      </c>
      <c r="W132" s="96">
        <f>+W134+W135</f>
        <v>1548615</v>
      </c>
      <c r="X132" s="97">
        <f>+W132/H132</f>
        <v>12.0985546875</v>
      </c>
    </row>
    <row r="133" spans="1:32" s="3" customFormat="1" hidden="1">
      <c r="A133" s="5"/>
      <c r="B133" s="89" t="s">
        <v>152</v>
      </c>
      <c r="C133" s="15" t="s">
        <v>153</v>
      </c>
      <c r="D133" s="16">
        <f>2140000-300000-4000-600-210000-150000-1400000-30000-45400</f>
        <v>0</v>
      </c>
      <c r="E133" s="17">
        <f>+D133/12</f>
        <v>0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26">
        <f>SUM(F133:Q133)</f>
        <v>0</v>
      </c>
      <c r="T133" s="19" t="e">
        <f>+S133/D133</f>
        <v>#DIV/0!</v>
      </c>
      <c r="U133" s="20">
        <f>+D133-S133</f>
        <v>0</v>
      </c>
      <c r="V133" s="21" t="e">
        <f>+U133/D133</f>
        <v>#DIV/0!</v>
      </c>
      <c r="W133" s="26" t="e">
        <f>SUM(J133:V133)</f>
        <v>#DIV/0!</v>
      </c>
      <c r="X133" s="19" t="e">
        <f>+W133/H133</f>
        <v>#DIV/0!</v>
      </c>
    </row>
    <row r="134" spans="1:32" s="3" customFormat="1" ht="15.75">
      <c r="A134" s="5"/>
      <c r="B134" s="69" t="s">
        <v>245</v>
      </c>
      <c r="C134" s="70" t="s">
        <v>154</v>
      </c>
      <c r="D134" s="72">
        <v>1024800</v>
      </c>
      <c r="E134" s="17">
        <f t="shared" ref="E134:E135" si="66">+D134/12</f>
        <v>85400</v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27">
        <f>30000+3919790.02+58000-3815950.02</f>
        <v>191840</v>
      </c>
      <c r="R134" s="17">
        <f>30000+123000+151345</f>
        <v>304345</v>
      </c>
      <c r="S134" s="18">
        <f t="shared" ref="S134:S135" si="67">+Q134+R134</f>
        <v>496185</v>
      </c>
      <c r="T134" s="19">
        <f>+S134/D134</f>
        <v>0.48417740046838409</v>
      </c>
      <c r="U134" s="20"/>
      <c r="V134" s="21"/>
      <c r="W134" s="18">
        <f>+D134-S134</f>
        <v>528615</v>
      </c>
      <c r="X134" s="19">
        <f>+W134/D134</f>
        <v>0.51582259953161591</v>
      </c>
    </row>
    <row r="135" spans="1:32" s="3" customFormat="1" ht="15.75">
      <c r="A135" s="5"/>
      <c r="B135" s="69" t="s">
        <v>246</v>
      </c>
      <c r="C135" s="70" t="s">
        <v>167</v>
      </c>
      <c r="D135" s="72">
        <v>1020000</v>
      </c>
      <c r="E135" s="17">
        <f t="shared" si="66"/>
        <v>85000</v>
      </c>
      <c r="F135" s="17">
        <v>78000</v>
      </c>
      <c r="G135" s="17">
        <v>78000</v>
      </c>
      <c r="H135" s="17">
        <f>78000+50000</f>
        <v>128000</v>
      </c>
      <c r="I135" s="17">
        <v>158000</v>
      </c>
      <c r="J135" s="17">
        <f>200000+220000+203000</f>
        <v>623000</v>
      </c>
      <c r="K135" s="17">
        <v>78000</v>
      </c>
      <c r="L135" s="17">
        <v>38000</v>
      </c>
      <c r="M135" s="17">
        <v>38000</v>
      </c>
      <c r="N135" s="17">
        <f>191000+709.9</f>
        <v>191709.9</v>
      </c>
      <c r="O135" s="17">
        <f>30000+40000+58000</f>
        <v>128000</v>
      </c>
      <c r="P135" s="17">
        <f>30000+639000</f>
        <v>669000</v>
      </c>
      <c r="Q135" s="17">
        <v>0</v>
      </c>
      <c r="R135" s="17">
        <v>0</v>
      </c>
      <c r="S135" s="18">
        <f t="shared" si="67"/>
        <v>0</v>
      </c>
      <c r="T135" s="19">
        <f>+S135/D135</f>
        <v>0</v>
      </c>
      <c r="U135" s="20">
        <f>+D135-S135</f>
        <v>1020000</v>
      </c>
      <c r="V135" s="21">
        <f>+U135/D135</f>
        <v>1</v>
      </c>
      <c r="W135" s="18">
        <f>+D135-S135</f>
        <v>1020000</v>
      </c>
      <c r="X135" s="19">
        <f>+W135/D135</f>
        <v>1</v>
      </c>
    </row>
    <row r="136" spans="1:32" s="3" customFormat="1" hidden="1">
      <c r="A136" s="5"/>
      <c r="B136" s="89" t="s">
        <v>155</v>
      </c>
      <c r="C136" s="15" t="s">
        <v>156</v>
      </c>
      <c r="D136" s="16"/>
      <c r="E136" s="17">
        <v>0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26"/>
      <c r="T136" s="26"/>
      <c r="U136" s="16"/>
      <c r="V136" s="16"/>
      <c r="W136" s="26"/>
      <c r="X136" s="26"/>
    </row>
    <row r="137" spans="1:32" s="3" customFormat="1" hidden="1">
      <c r="A137" s="5"/>
      <c r="B137" s="89" t="s">
        <v>157</v>
      </c>
      <c r="C137" s="15" t="s">
        <v>158</v>
      </c>
      <c r="D137" s="38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26"/>
      <c r="T137" s="26"/>
      <c r="U137" s="38"/>
      <c r="V137" s="38"/>
      <c r="W137" s="26"/>
      <c r="X137" s="26"/>
    </row>
    <row r="138" spans="1:32" s="3" customFormat="1" hidden="1">
      <c r="A138" s="5"/>
      <c r="B138" s="88" t="s">
        <v>159</v>
      </c>
      <c r="C138" s="24" t="s">
        <v>160</v>
      </c>
      <c r="D138" s="42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26"/>
      <c r="T138" s="26"/>
      <c r="U138" s="42"/>
      <c r="V138" s="42"/>
      <c r="W138" s="26"/>
      <c r="X138" s="26"/>
      <c r="Y138" s="4"/>
      <c r="Z138" s="4"/>
      <c r="AA138" s="4"/>
      <c r="AB138" s="4"/>
      <c r="AC138" s="4"/>
      <c r="AD138" s="4"/>
      <c r="AE138" s="4"/>
      <c r="AF138" s="4"/>
    </row>
    <row r="139" spans="1:32" s="3" customFormat="1" hidden="1">
      <c r="A139" s="5"/>
      <c r="B139" s="89" t="s">
        <v>161</v>
      </c>
      <c r="C139" s="15" t="s">
        <v>162</v>
      </c>
      <c r="D139" s="38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26"/>
      <c r="T139" s="26"/>
      <c r="U139" s="38"/>
      <c r="V139" s="38"/>
      <c r="W139" s="26"/>
      <c r="X139" s="26"/>
      <c r="Y139" s="4"/>
      <c r="Z139" s="4"/>
      <c r="AA139" s="4"/>
      <c r="AB139" s="4"/>
      <c r="AC139" s="4"/>
      <c r="AD139" s="4"/>
      <c r="AE139" s="4"/>
      <c r="AF139" s="4"/>
    </row>
    <row r="140" spans="1:32" s="3" customFormat="1" ht="30" hidden="1">
      <c r="A140" s="5"/>
      <c r="B140" s="89" t="s">
        <v>163</v>
      </c>
      <c r="C140" s="43" t="s">
        <v>164</v>
      </c>
      <c r="D140" s="38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26"/>
      <c r="T140" s="26"/>
      <c r="U140" s="38"/>
      <c r="V140" s="38"/>
      <c r="W140" s="26"/>
      <c r="X140" s="26"/>
      <c r="Y140" s="4"/>
      <c r="Z140" s="4"/>
      <c r="AA140" s="4"/>
      <c r="AB140" s="4"/>
      <c r="AC140" s="4"/>
      <c r="AD140" s="4"/>
      <c r="AE140" s="4"/>
      <c r="AF140" s="4"/>
    </row>
    <row r="141" spans="1:32" s="3" customFormat="1">
      <c r="A141" s="5"/>
      <c r="B141" s="88" t="s">
        <v>165</v>
      </c>
      <c r="C141" s="24" t="s">
        <v>166</v>
      </c>
      <c r="D141" s="9">
        <f t="shared" ref="D141:P141" si="68">SUM(D142:D144)</f>
        <v>420000</v>
      </c>
      <c r="E141" s="9">
        <f>+E142</f>
        <v>35000</v>
      </c>
      <c r="F141" s="10">
        <f t="shared" si="68"/>
        <v>183162</v>
      </c>
      <c r="G141" s="10">
        <f t="shared" si="68"/>
        <v>0</v>
      </c>
      <c r="H141" s="10">
        <f t="shared" si="68"/>
        <v>0</v>
      </c>
      <c r="I141" s="10">
        <f t="shared" si="68"/>
        <v>75900.5</v>
      </c>
      <c r="J141" s="10">
        <f t="shared" si="68"/>
        <v>40575</v>
      </c>
      <c r="K141" s="10">
        <f t="shared" si="68"/>
        <v>269226</v>
      </c>
      <c r="L141" s="10">
        <f t="shared" si="68"/>
        <v>0</v>
      </c>
      <c r="M141" s="10">
        <f t="shared" si="68"/>
        <v>0</v>
      </c>
      <c r="N141" s="10">
        <f t="shared" si="68"/>
        <v>0</v>
      </c>
      <c r="O141" s="10">
        <f t="shared" si="68"/>
        <v>0</v>
      </c>
      <c r="P141" s="10">
        <f t="shared" si="68"/>
        <v>0</v>
      </c>
      <c r="Q141" s="10">
        <f>+Q142</f>
        <v>35000</v>
      </c>
      <c r="R141" s="10">
        <f>+R142</f>
        <v>70000</v>
      </c>
      <c r="S141" s="11">
        <f>+S142</f>
        <v>105000</v>
      </c>
      <c r="T141" s="12">
        <f t="shared" ref="T141:T147" si="69">+S141/D141</f>
        <v>0.25</v>
      </c>
      <c r="U141" s="13">
        <f t="shared" ref="U141:U147" si="70">+D141-S141</f>
        <v>315000</v>
      </c>
      <c r="V141" s="14">
        <f t="shared" ref="V141:V147" si="71">+U141/D141</f>
        <v>0.75</v>
      </c>
      <c r="W141" s="96">
        <f>+W142</f>
        <v>315000</v>
      </c>
      <c r="X141" s="97">
        <f>+W141/D141</f>
        <v>0.75</v>
      </c>
      <c r="Y141" s="4"/>
      <c r="Z141" s="4"/>
      <c r="AA141" s="4"/>
      <c r="AB141" s="4"/>
      <c r="AC141" s="4"/>
      <c r="AD141" s="4"/>
      <c r="AE141" s="4"/>
      <c r="AF141" s="4"/>
    </row>
    <row r="142" spans="1:32" s="3" customFormat="1" ht="15.75">
      <c r="A142" s="5"/>
      <c r="B142" s="69" t="s">
        <v>247</v>
      </c>
      <c r="C142" s="70" t="s">
        <v>168</v>
      </c>
      <c r="D142" s="76">
        <v>420000</v>
      </c>
      <c r="E142" s="17">
        <f t="shared" ref="E142" si="72">+D142/12</f>
        <v>35000</v>
      </c>
      <c r="F142" s="17">
        <v>183162</v>
      </c>
      <c r="G142" s="17"/>
      <c r="H142" s="17"/>
      <c r="I142" s="17">
        <v>75900.5</v>
      </c>
      <c r="J142" s="17">
        <v>40575</v>
      </c>
      <c r="K142" s="17">
        <v>269226</v>
      </c>
      <c r="L142" s="17"/>
      <c r="M142" s="17"/>
      <c r="N142" s="17"/>
      <c r="O142" s="17"/>
      <c r="P142" s="17"/>
      <c r="Q142" s="85">
        <v>35000</v>
      </c>
      <c r="R142" s="85">
        <v>70000</v>
      </c>
      <c r="S142" s="18">
        <f t="shared" ref="S142" si="73">+Q142+R142</f>
        <v>105000</v>
      </c>
      <c r="T142" s="19">
        <f t="shared" si="69"/>
        <v>0.25</v>
      </c>
      <c r="U142" s="20">
        <f t="shared" si="70"/>
        <v>315000</v>
      </c>
      <c r="V142" s="21">
        <f t="shared" si="71"/>
        <v>0.75</v>
      </c>
      <c r="W142" s="18">
        <f>+D142-S142</f>
        <v>315000</v>
      </c>
      <c r="X142" s="19">
        <f>+W142/D142</f>
        <v>0.75</v>
      </c>
      <c r="Y142" s="4"/>
      <c r="Z142" s="4"/>
      <c r="AA142" s="4"/>
      <c r="AB142" s="4"/>
      <c r="AC142" s="4"/>
      <c r="AD142" s="4"/>
      <c r="AE142" s="4"/>
      <c r="AF142" s="4"/>
    </row>
    <row r="143" spans="1:32" s="3" customFormat="1" hidden="1">
      <c r="A143" s="5"/>
      <c r="B143" s="88"/>
      <c r="C143" s="24"/>
      <c r="D143" s="42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26">
        <f>SUM(F143:Q143)</f>
        <v>0</v>
      </c>
      <c r="T143" s="19" t="e">
        <f t="shared" si="69"/>
        <v>#DIV/0!</v>
      </c>
      <c r="U143" s="20">
        <f t="shared" si="70"/>
        <v>0</v>
      </c>
      <c r="V143" s="21" t="e">
        <f t="shared" si="71"/>
        <v>#DIV/0!</v>
      </c>
      <c r="W143" s="26" t="e">
        <f>SUM(J143:V143)</f>
        <v>#DIV/0!</v>
      </c>
      <c r="X143" s="19" t="e">
        <f>+W143/H143</f>
        <v>#DIV/0!</v>
      </c>
      <c r="Y143" s="4"/>
      <c r="Z143" s="4"/>
      <c r="AA143" s="4"/>
      <c r="AB143" s="4"/>
      <c r="AC143" s="4"/>
      <c r="AD143" s="4"/>
      <c r="AE143" s="4"/>
      <c r="AF143" s="4"/>
    </row>
    <row r="144" spans="1:32" s="3" customFormat="1" hidden="1">
      <c r="A144" s="5"/>
      <c r="B144" s="89"/>
      <c r="C144" s="43"/>
      <c r="D144" s="38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26">
        <f>SUM(F144:Q144)</f>
        <v>0</v>
      </c>
      <c r="T144" s="19" t="e">
        <f t="shared" si="69"/>
        <v>#DIV/0!</v>
      </c>
      <c r="U144" s="20">
        <f t="shared" si="70"/>
        <v>0</v>
      </c>
      <c r="V144" s="21" t="e">
        <f t="shared" si="71"/>
        <v>#DIV/0!</v>
      </c>
      <c r="W144" s="26" t="e">
        <f>SUM(J144:V144)</f>
        <v>#DIV/0!</v>
      </c>
      <c r="X144" s="19" t="e">
        <f>+W144/H144</f>
        <v>#DIV/0!</v>
      </c>
      <c r="Y144" s="4"/>
      <c r="Z144" s="4"/>
      <c r="AA144" s="4"/>
      <c r="AB144" s="4"/>
      <c r="AC144" s="4"/>
      <c r="AD144" s="4"/>
      <c r="AE144" s="4"/>
      <c r="AF144" s="4"/>
    </row>
    <row r="145" spans="1:32" s="3" customFormat="1">
      <c r="A145" s="5"/>
      <c r="B145" s="88" t="s">
        <v>169</v>
      </c>
      <c r="C145" s="24" t="s">
        <v>170</v>
      </c>
      <c r="D145" s="9">
        <f>SUM(D146:D152)</f>
        <v>5440000</v>
      </c>
      <c r="E145" s="9">
        <f>SUM(E146:E152)</f>
        <v>441666.66666666669</v>
      </c>
      <c r="F145" s="10">
        <f t="shared" ref="F145:M145" si="74">SUM(F146:F147)</f>
        <v>781163.54</v>
      </c>
      <c r="G145" s="10">
        <f t="shared" si="74"/>
        <v>0</v>
      </c>
      <c r="H145" s="10">
        <f t="shared" si="74"/>
        <v>1363972.8</v>
      </c>
      <c r="I145" s="10">
        <f t="shared" si="74"/>
        <v>0</v>
      </c>
      <c r="J145" s="10">
        <f t="shared" si="74"/>
        <v>23423</v>
      </c>
      <c r="K145" s="10">
        <f t="shared" si="74"/>
        <v>887660.9</v>
      </c>
      <c r="L145" s="10">
        <f t="shared" si="74"/>
        <v>55932</v>
      </c>
      <c r="M145" s="10">
        <f t="shared" si="74"/>
        <v>876822.6</v>
      </c>
      <c r="N145" s="10">
        <f>SUM(N146:N149)</f>
        <v>0</v>
      </c>
      <c r="O145" s="10">
        <f>SUM(O146:O147)</f>
        <v>29332.080000000002</v>
      </c>
      <c r="P145" s="10" t="e">
        <f>SUM(P146:P147)+#REF!</f>
        <v>#REF!</v>
      </c>
      <c r="Q145" s="10">
        <f>+Q146+Q147+Q148+Q149+Q151+Q152</f>
        <v>1668654.6</v>
      </c>
      <c r="R145" s="10">
        <f>+R146+R147+R148+R149+R150+R151+R152</f>
        <v>538869.72</v>
      </c>
      <c r="S145" s="11">
        <f>SUM(S146:S152)</f>
        <v>2207524.3199999998</v>
      </c>
      <c r="T145" s="12">
        <f t="shared" si="69"/>
        <v>0.40579491176470583</v>
      </c>
      <c r="U145" s="13">
        <f t="shared" si="70"/>
        <v>3232475.68</v>
      </c>
      <c r="V145" s="14">
        <f t="shared" si="71"/>
        <v>0.59420508823529417</v>
      </c>
      <c r="W145" s="96">
        <f>+W146+W147+W151+W152</f>
        <v>2989212.14</v>
      </c>
      <c r="X145" s="97">
        <f>+W145/D145</f>
        <v>0.54948752573529414</v>
      </c>
      <c r="Y145" s="4"/>
      <c r="Z145" s="4"/>
      <c r="AA145" s="4"/>
      <c r="AB145" s="4"/>
      <c r="AC145" s="4"/>
      <c r="AD145" s="4"/>
      <c r="AE145" s="4"/>
      <c r="AF145" s="4"/>
    </row>
    <row r="146" spans="1:32" s="29" customFormat="1" ht="15.75">
      <c r="A146" s="5"/>
      <c r="B146" s="73" t="s">
        <v>248</v>
      </c>
      <c r="C146" s="74" t="s">
        <v>171</v>
      </c>
      <c r="D146" s="72">
        <v>1500000</v>
      </c>
      <c r="E146" s="17">
        <f t="shared" ref="E146:E152" si="75">+D146/12</f>
        <v>125000</v>
      </c>
      <c r="F146" s="17">
        <v>781163.54</v>
      </c>
      <c r="G146" s="17"/>
      <c r="H146" s="17">
        <v>1363972.8</v>
      </c>
      <c r="I146" s="17"/>
      <c r="J146" s="17">
        <v>23423</v>
      </c>
      <c r="K146" s="17">
        <v>887660.9</v>
      </c>
      <c r="L146" s="17"/>
      <c r="M146" s="17">
        <v>876822.6</v>
      </c>
      <c r="N146" s="17"/>
      <c r="O146" s="17">
        <v>29332.080000000002</v>
      </c>
      <c r="P146" s="17">
        <v>9280</v>
      </c>
      <c r="Q146" s="83">
        <f>247800+61560.6</f>
        <v>309360.59999999998</v>
      </c>
      <c r="R146" s="83">
        <v>80500.31</v>
      </c>
      <c r="S146" s="18">
        <f t="shared" ref="S146:S154" si="76">+Q146+R146</f>
        <v>389860.91</v>
      </c>
      <c r="T146" s="19">
        <f t="shared" si="69"/>
        <v>0.2599072733333333</v>
      </c>
      <c r="U146" s="20">
        <f t="shared" si="70"/>
        <v>1110139.0900000001</v>
      </c>
      <c r="V146" s="21">
        <f t="shared" si="71"/>
        <v>0.7400927266666667</v>
      </c>
      <c r="W146" s="18">
        <f>+D146-S146</f>
        <v>1110139.0900000001</v>
      </c>
      <c r="X146" s="19">
        <f>+W146/D146</f>
        <v>0.7400927266666667</v>
      </c>
    </row>
    <row r="147" spans="1:32" s="29" customFormat="1" ht="15.75">
      <c r="A147" s="5"/>
      <c r="B147" s="73" t="s">
        <v>249</v>
      </c>
      <c r="C147" s="74" t="s">
        <v>172</v>
      </c>
      <c r="D147" s="72">
        <v>1500000</v>
      </c>
      <c r="E147" s="17">
        <f t="shared" si="75"/>
        <v>125000</v>
      </c>
      <c r="F147" s="17"/>
      <c r="G147" s="17"/>
      <c r="H147" s="17"/>
      <c r="I147" s="17"/>
      <c r="J147" s="17"/>
      <c r="K147" s="17"/>
      <c r="L147" s="17">
        <f>23010+32922</f>
        <v>55932</v>
      </c>
      <c r="M147" s="17"/>
      <c r="N147" s="17"/>
      <c r="O147" s="17"/>
      <c r="P147" s="17"/>
      <c r="Q147" s="83">
        <v>333586</v>
      </c>
      <c r="R147" s="83">
        <v>373266.45</v>
      </c>
      <c r="S147" s="18">
        <f t="shared" si="76"/>
        <v>706852.45</v>
      </c>
      <c r="T147" s="19">
        <f t="shared" si="69"/>
        <v>0.47123496666666664</v>
      </c>
      <c r="U147" s="20">
        <f t="shared" si="70"/>
        <v>793147.55</v>
      </c>
      <c r="V147" s="21">
        <f t="shared" si="71"/>
        <v>0.52876503333333336</v>
      </c>
      <c r="W147" s="18">
        <f>+D147-S147</f>
        <v>793147.55</v>
      </c>
      <c r="X147" s="19">
        <f>+W147/D147</f>
        <v>0.52876503333333336</v>
      </c>
    </row>
    <row r="148" spans="1:32" s="29" customFormat="1" ht="15.75">
      <c r="A148" s="5"/>
      <c r="B148" s="73" t="s">
        <v>291</v>
      </c>
      <c r="C148" s="74" t="s">
        <v>290</v>
      </c>
      <c r="D148" s="72">
        <v>100000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83">
        <v>0</v>
      </c>
      <c r="R148" s="83">
        <v>84352.960000000006</v>
      </c>
      <c r="S148" s="18">
        <f t="shared" si="76"/>
        <v>84352.960000000006</v>
      </c>
      <c r="T148" s="19"/>
      <c r="U148" s="20"/>
      <c r="V148" s="21"/>
      <c r="W148" s="18"/>
      <c r="X148" s="19"/>
    </row>
    <row r="149" spans="1:32" s="44" customFormat="1" ht="15.75">
      <c r="A149" s="36"/>
      <c r="B149" s="73" t="s">
        <v>278</v>
      </c>
      <c r="C149" s="28" t="s">
        <v>279</v>
      </c>
      <c r="D149" s="16">
        <v>1000000</v>
      </c>
      <c r="E149" s="17">
        <f t="shared" si="75"/>
        <v>83333.333333333328</v>
      </c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83">
        <v>811633.5</v>
      </c>
      <c r="R149" s="83">
        <v>0</v>
      </c>
      <c r="S149" s="18">
        <f t="shared" si="76"/>
        <v>811633.5</v>
      </c>
      <c r="T149" s="19">
        <f>+S149/D149</f>
        <v>0.81163350000000001</v>
      </c>
      <c r="U149" s="16">
        <v>0</v>
      </c>
      <c r="V149" s="16"/>
      <c r="W149" s="18">
        <f>+D149-S149</f>
        <v>188366.5</v>
      </c>
      <c r="X149" s="19">
        <f>+W149/D149</f>
        <v>0.18836649999999999</v>
      </c>
    </row>
    <row r="150" spans="1:32" s="44" customFormat="1" ht="15.75">
      <c r="A150" s="36"/>
      <c r="B150" s="73" t="s">
        <v>293</v>
      </c>
      <c r="C150" s="28" t="s">
        <v>292</v>
      </c>
      <c r="D150" s="16">
        <v>40000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83">
        <v>0</v>
      </c>
      <c r="R150" s="83">
        <v>750</v>
      </c>
      <c r="S150" s="18">
        <f t="shared" si="76"/>
        <v>750</v>
      </c>
      <c r="T150" s="19"/>
      <c r="U150" s="16"/>
      <c r="V150" s="16"/>
      <c r="W150" s="18"/>
      <c r="X150" s="19"/>
    </row>
    <row r="151" spans="1:32" s="44" customFormat="1" ht="15.75">
      <c r="A151" s="36"/>
      <c r="B151" s="73" t="s">
        <v>262</v>
      </c>
      <c r="C151" s="74" t="s">
        <v>263</v>
      </c>
      <c r="D151" s="72">
        <v>500000</v>
      </c>
      <c r="E151" s="17">
        <f t="shared" si="75"/>
        <v>41666.666666666664</v>
      </c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83">
        <v>66574.5</v>
      </c>
      <c r="R151" s="83">
        <v>0</v>
      </c>
      <c r="S151" s="18">
        <f t="shared" si="76"/>
        <v>66574.5</v>
      </c>
      <c r="T151" s="19">
        <f>+S151/D151</f>
        <v>0.13314899999999999</v>
      </c>
      <c r="U151" s="16"/>
      <c r="V151" s="16"/>
      <c r="W151" s="18">
        <f>+D151-S151</f>
        <v>433425.5</v>
      </c>
      <c r="X151" s="19">
        <f>+W151/D151</f>
        <v>0.86685100000000004</v>
      </c>
    </row>
    <row r="152" spans="1:32" s="44" customFormat="1" ht="15.75">
      <c r="A152" s="36"/>
      <c r="B152" s="73" t="s">
        <v>264</v>
      </c>
      <c r="C152" s="74" t="s">
        <v>265</v>
      </c>
      <c r="D152" s="72">
        <v>800000</v>
      </c>
      <c r="E152" s="17">
        <f t="shared" si="75"/>
        <v>66666.666666666672</v>
      </c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83">
        <v>147500</v>
      </c>
      <c r="R152" s="83">
        <v>0</v>
      </c>
      <c r="S152" s="18">
        <f t="shared" si="76"/>
        <v>147500</v>
      </c>
      <c r="T152" s="19">
        <f>+S152/D152</f>
        <v>0.18437500000000001</v>
      </c>
      <c r="U152" s="16"/>
      <c r="V152" s="16"/>
      <c r="W152" s="18">
        <f>+D152-S152</f>
        <v>652500</v>
      </c>
      <c r="X152" s="19">
        <f>+W152/D152</f>
        <v>0.81562500000000004</v>
      </c>
    </row>
    <row r="153" spans="1:32" s="44" customFormat="1">
      <c r="A153" s="36"/>
      <c r="B153" s="88" t="s">
        <v>294</v>
      </c>
      <c r="C153" s="24" t="s">
        <v>295</v>
      </c>
      <c r="D153" s="9">
        <f>SUM(D154:D160)</f>
        <v>2429081741.46</v>
      </c>
      <c r="E153" s="9">
        <f>SUM(E154:E160)</f>
        <v>187910481.25333333</v>
      </c>
      <c r="F153" s="10">
        <f t="shared" ref="F153:M153" si="77">SUM(F154:F155)</f>
        <v>88059750.929999992</v>
      </c>
      <c r="G153" s="10">
        <f t="shared" si="77"/>
        <v>63511390.390000001</v>
      </c>
      <c r="H153" s="10">
        <f t="shared" si="77"/>
        <v>63806472.390000001</v>
      </c>
      <c r="I153" s="10">
        <f t="shared" si="77"/>
        <v>62192881.330000006</v>
      </c>
      <c r="J153" s="10">
        <f t="shared" si="77"/>
        <v>65034047.760000005</v>
      </c>
      <c r="K153" s="10">
        <f t="shared" si="77"/>
        <v>63144298.380000003</v>
      </c>
      <c r="L153" s="10">
        <f t="shared" si="77"/>
        <v>64326042.599999994</v>
      </c>
      <c r="M153" s="10">
        <f t="shared" si="77"/>
        <v>70320686.99000001</v>
      </c>
      <c r="N153" s="10" t="e">
        <f>SUM(N154:N157)</f>
        <v>#REF!</v>
      </c>
      <c r="O153" s="10">
        <f>SUM(O154:O155)</f>
        <v>65763293.75999999</v>
      </c>
      <c r="P153" s="10" t="e">
        <f>SUM(P154:P155)+#REF!</f>
        <v>#REF!</v>
      </c>
      <c r="Q153" s="10">
        <f>+Q154</f>
        <v>0</v>
      </c>
      <c r="R153" s="10">
        <f>+R154</f>
        <v>861407.41</v>
      </c>
      <c r="S153" s="11">
        <f>SUM(S154:S160)</f>
        <v>364880672.88999999</v>
      </c>
      <c r="T153" s="12">
        <f>+S153/D153</f>
        <v>0.15021341878379457</v>
      </c>
      <c r="U153" s="13">
        <f>+D153-S153</f>
        <v>2064201068.5700002</v>
      </c>
      <c r="V153" s="14">
        <f>+U153/D153</f>
        <v>0.84978658121620543</v>
      </c>
      <c r="W153" s="96">
        <f>+W154+W155+W159+W160</f>
        <v>1010822462.02</v>
      </c>
      <c r="X153" s="97">
        <f>+W153/D153</f>
        <v>0.41613357210961743</v>
      </c>
    </row>
    <row r="154" spans="1:32" s="44" customFormat="1" ht="15.75">
      <c r="A154" s="36"/>
      <c r="B154" s="73" t="s">
        <v>296</v>
      </c>
      <c r="C154" s="74" t="s">
        <v>297</v>
      </c>
      <c r="D154" s="72">
        <v>1000000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83">
        <v>0</v>
      </c>
      <c r="R154" s="83">
        <v>861407.41</v>
      </c>
      <c r="S154" s="18">
        <f t="shared" si="76"/>
        <v>861407.41</v>
      </c>
      <c r="T154" s="19"/>
      <c r="U154" s="16"/>
      <c r="V154" s="16"/>
      <c r="W154" s="18"/>
      <c r="X154" s="19"/>
    </row>
    <row r="155" spans="1:32" s="50" customFormat="1" ht="15.75">
      <c r="A155" s="45"/>
      <c r="B155" s="88" t="s">
        <v>173</v>
      </c>
      <c r="C155" s="46"/>
      <c r="D155" s="47">
        <f t="shared" ref="D155:P155" si="78">+D145+D141+D132+D124+D113+D103+D98+D95+D90+D74+D61+D52+D50+D47+D42+D39+D36+D29+D15+D85</f>
        <v>1190674761.73</v>
      </c>
      <c r="E155" s="47">
        <f t="shared" si="78"/>
        <v>92008064.876666665</v>
      </c>
      <c r="F155" s="47">
        <f t="shared" si="78"/>
        <v>88059750.929999992</v>
      </c>
      <c r="G155" s="47">
        <f t="shared" si="78"/>
        <v>63511390.390000001</v>
      </c>
      <c r="H155" s="47">
        <f t="shared" si="78"/>
        <v>63806472.390000001</v>
      </c>
      <c r="I155" s="47">
        <f t="shared" si="78"/>
        <v>62192881.330000006</v>
      </c>
      <c r="J155" s="47">
        <f t="shared" si="78"/>
        <v>65034047.760000005</v>
      </c>
      <c r="K155" s="47">
        <f t="shared" si="78"/>
        <v>63144298.380000003</v>
      </c>
      <c r="L155" s="47">
        <f t="shared" si="78"/>
        <v>64326042.599999994</v>
      </c>
      <c r="M155" s="47">
        <f t="shared" si="78"/>
        <v>70320686.99000001</v>
      </c>
      <c r="N155" s="47">
        <f t="shared" si="78"/>
        <v>68636998.069999993</v>
      </c>
      <c r="O155" s="47">
        <f t="shared" si="78"/>
        <v>65763293.75999999</v>
      </c>
      <c r="P155" s="47" t="e">
        <f t="shared" si="78"/>
        <v>#REF!</v>
      </c>
      <c r="Q155" s="47">
        <f>+Q15+Q29+Q36+Q39+Q42+Q47+Q50+Q52+Q61+Q74+Q85+Q90+Q95+Q98+Q103+Q113+Q124+Q132+Q141+Q145</f>
        <v>93057714.61999999</v>
      </c>
      <c r="R155" s="47">
        <f>+R15+R29+R36+R39+R42+R47+R50+R52+R61+R74+R85+R90+R95+R98+R103+R113+R124+R132+R141+R145+R153</f>
        <v>86417555.939999998</v>
      </c>
      <c r="S155" s="47">
        <f>+S15+S29+S36+S39+S42+S47+S50+S52+S61+S74+S85+S90+S95+S98+S103+S113+S124+S132+S141+S145</f>
        <v>178259632.74000001</v>
      </c>
      <c r="T155" s="48">
        <f>+S155/D155</f>
        <v>0.1497131193752661</v>
      </c>
      <c r="U155" s="47">
        <f>+U145+U141+U132+U124+U113+U103+U98+U95+U90+U74+U61+U52+U50+U47+U42+U39+U36+U29+U15+U85</f>
        <v>913976428.98999989</v>
      </c>
      <c r="V155" s="49">
        <f>+U155/D155</f>
        <v>0.76761216275553779</v>
      </c>
      <c r="W155" s="47">
        <f>+W15+W29+W36+W39+W42+W47+W50+W52+W61+W74+W85+W90+W95+W98+W103+W113+W124+W132+W141+W145</f>
        <v>1008322462.02</v>
      </c>
      <c r="X155" s="98">
        <f>+W155/D155</f>
        <v>0.84684961370555145</v>
      </c>
    </row>
    <row r="156" spans="1:32" ht="15.75">
      <c r="B156" s="40" t="s">
        <v>174</v>
      </c>
      <c r="C156" s="51" t="s">
        <v>175</v>
      </c>
      <c r="D156" s="81">
        <v>18366109</v>
      </c>
      <c r="E156" s="82">
        <f t="shared" ref="E156" si="79">+D156/12</f>
        <v>1530509.0833333333</v>
      </c>
      <c r="F156" s="52">
        <v>18194.490000000002</v>
      </c>
      <c r="G156" s="52"/>
      <c r="H156" s="52">
        <v>11363.05</v>
      </c>
      <c r="I156" s="52"/>
      <c r="J156" s="52">
        <v>10795.98</v>
      </c>
      <c r="K156" s="52">
        <f>+D156/2+6958.49</f>
        <v>9190012.9900000002</v>
      </c>
      <c r="L156" s="52"/>
      <c r="M156" s="52">
        <v>17118.47</v>
      </c>
      <c r="N156" s="52">
        <v>16575.29</v>
      </c>
      <c r="O156" s="52"/>
      <c r="P156" s="52">
        <v>11789.53</v>
      </c>
      <c r="Q156" s="52">
        <v>0</v>
      </c>
      <c r="R156" s="52">
        <v>0</v>
      </c>
      <c r="S156" s="26">
        <f>+Q156</f>
        <v>0</v>
      </c>
      <c r="T156" s="19">
        <f>+S156/D156</f>
        <v>0</v>
      </c>
      <c r="U156" s="20">
        <f>+D156-S156</f>
        <v>18366109</v>
      </c>
      <c r="V156" s="21">
        <f>+U156/D156</f>
        <v>1</v>
      </c>
      <c r="W156" s="18">
        <f>+D156-S156</f>
        <v>18366109</v>
      </c>
      <c r="X156" s="19">
        <f>+W156/D156</f>
        <v>1</v>
      </c>
    </row>
    <row r="157" spans="1:32">
      <c r="B157" s="93"/>
      <c r="C157" s="53" t="s">
        <v>176</v>
      </c>
      <c r="D157" s="54">
        <f>+D155+D156</f>
        <v>1209040870.73</v>
      </c>
      <c r="E157" s="54">
        <f>+E155+E156</f>
        <v>93538573.959999993</v>
      </c>
      <c r="F157" s="55" t="e">
        <f>+F155+#REF!+F156</f>
        <v>#REF!</v>
      </c>
      <c r="G157" s="55" t="e">
        <f>+G155+#REF!</f>
        <v>#REF!</v>
      </c>
      <c r="H157" s="55" t="e">
        <f>+H155+#REF!+H156</f>
        <v>#REF!</v>
      </c>
      <c r="I157" s="55" t="e">
        <f>+I155+#REF!</f>
        <v>#REF!</v>
      </c>
      <c r="J157" s="55" t="e">
        <f>+J155+#REF!+J156</f>
        <v>#REF!</v>
      </c>
      <c r="K157" s="55" t="e">
        <f>+K155+#REF!+K156</f>
        <v>#REF!</v>
      </c>
      <c r="L157" s="55" t="e">
        <f>+L155+#REF!+L156</f>
        <v>#REF!</v>
      </c>
      <c r="M157" s="55">
        <f>+M155+M156</f>
        <v>70337805.460000008</v>
      </c>
      <c r="N157" s="55" t="e">
        <f>+N155+N156+#REF!</f>
        <v>#REF!</v>
      </c>
      <c r="O157" s="55" t="e">
        <f>+O155+#REF!+O156</f>
        <v>#REF!</v>
      </c>
      <c r="P157" s="55" t="e">
        <f>+P155+#REF!+P156</f>
        <v>#REF!</v>
      </c>
      <c r="Q157" s="55">
        <f>+Q155+Q156</f>
        <v>93057714.61999999</v>
      </c>
      <c r="R157" s="55">
        <f>+R155+R156</f>
        <v>86417555.939999998</v>
      </c>
      <c r="S157" s="55">
        <f>+S155+S156</f>
        <v>178259632.74000001</v>
      </c>
      <c r="T157" s="12">
        <f>+S157/D157</f>
        <v>0.14743888073226971</v>
      </c>
      <c r="U157" s="56" t="e">
        <f>+U155+#REF!+U156</f>
        <v>#REF!</v>
      </c>
      <c r="V157" s="14" t="e">
        <f>+U157/D157</f>
        <v>#REF!</v>
      </c>
      <c r="W157" s="55">
        <f>+W155+W156</f>
        <v>1026688571.02</v>
      </c>
      <c r="X157" s="99">
        <f>+W157/D157</f>
        <v>0.84917606664537437</v>
      </c>
    </row>
    <row r="158" spans="1:32">
      <c r="A158" s="37"/>
      <c r="B158" s="58"/>
      <c r="C158" s="58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60"/>
      <c r="W158" s="59"/>
      <c r="X158" s="59"/>
    </row>
    <row r="159" spans="1:32" ht="15.75">
      <c r="A159" s="37"/>
      <c r="B159" s="100" t="s">
        <v>245</v>
      </c>
      <c r="C159" s="51" t="s">
        <v>280</v>
      </c>
      <c r="D159" s="81">
        <v>10000000</v>
      </c>
      <c r="E159" s="82">
        <f t="shared" ref="E159" si="80">+D159/12</f>
        <v>833333.33333333337</v>
      </c>
      <c r="F159" s="52">
        <v>18194.490000000002</v>
      </c>
      <c r="G159" s="52"/>
      <c r="H159" s="52">
        <v>11363.05</v>
      </c>
      <c r="I159" s="52"/>
      <c r="J159" s="52">
        <v>10795.98</v>
      </c>
      <c r="K159" s="52">
        <f>+D159/2+6958.49</f>
        <v>5006958.49</v>
      </c>
      <c r="L159" s="52"/>
      <c r="M159" s="52">
        <v>17118.47</v>
      </c>
      <c r="N159" s="52">
        <v>16575.29</v>
      </c>
      <c r="O159" s="52"/>
      <c r="P159" s="52">
        <v>11789.53</v>
      </c>
      <c r="Q159" s="52">
        <v>7500000</v>
      </c>
      <c r="R159" s="52">
        <v>2100000</v>
      </c>
      <c r="S159" s="26">
        <f>+Q159</f>
        <v>7500000</v>
      </c>
      <c r="T159" s="19">
        <f>+S159/D159</f>
        <v>0.75</v>
      </c>
      <c r="U159" s="20">
        <f>+D159-S159</f>
        <v>2500000</v>
      </c>
      <c r="V159" s="21">
        <f>+U159/D159</f>
        <v>0.25</v>
      </c>
      <c r="W159" s="96">
        <f>+D159-S159</f>
        <v>2500000</v>
      </c>
      <c r="X159" s="97">
        <f>+W159/D159</f>
        <v>0.25</v>
      </c>
    </row>
    <row r="160" spans="1:32">
      <c r="A160" s="37"/>
      <c r="B160" s="58"/>
      <c r="C160" s="58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101"/>
      <c r="T160" s="59"/>
      <c r="U160" s="59"/>
      <c r="V160" s="60"/>
      <c r="W160" s="59"/>
      <c r="X160" s="59"/>
    </row>
    <row r="161" spans="1:24">
      <c r="A161" s="37"/>
      <c r="B161" s="58"/>
      <c r="C161" s="58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60"/>
      <c r="W161" s="59"/>
      <c r="X161" s="59"/>
    </row>
    <row r="162" spans="1:24">
      <c r="A162" s="37"/>
      <c r="B162" s="58"/>
      <c r="C162" s="58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60"/>
      <c r="W162" s="59"/>
      <c r="X162" s="59"/>
    </row>
    <row r="163" spans="1:24">
      <c r="A163" s="37"/>
      <c r="B163" s="58"/>
      <c r="C163" s="58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60"/>
      <c r="W163" s="59"/>
      <c r="X163" s="59"/>
    </row>
    <row r="164" spans="1:24" ht="18">
      <c r="A164" s="37"/>
      <c r="B164" s="61"/>
      <c r="C164" s="62"/>
      <c r="D164" s="62"/>
      <c r="E164" s="63"/>
      <c r="F164" s="64"/>
      <c r="G164" s="65"/>
      <c r="H164" s="65"/>
      <c r="I164" s="65"/>
      <c r="J164" s="65"/>
      <c r="K164" s="189"/>
      <c r="L164" s="184"/>
      <c r="M164" s="184"/>
      <c r="N164" s="184"/>
      <c r="O164" s="57"/>
      <c r="P164" s="57"/>
      <c r="Q164" s="57"/>
      <c r="R164" s="57"/>
      <c r="S164" s="66"/>
      <c r="T164" s="66"/>
      <c r="W164" s="66"/>
    </row>
    <row r="165" spans="1:24" ht="15.75">
      <c r="A165" s="37"/>
      <c r="B165" s="184" t="s">
        <v>251</v>
      </c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</row>
    <row r="166" spans="1:24">
      <c r="A166" s="37"/>
      <c r="B166" s="185" t="s">
        <v>252</v>
      </c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</row>
    <row r="167" spans="1:24">
      <c r="A167" s="37"/>
      <c r="B167" s="185" t="s">
        <v>253</v>
      </c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</row>
    <row r="168" spans="1:24" s="58" customFormat="1">
      <c r="A168" s="37"/>
      <c r="K168" s="66"/>
      <c r="L168" s="67">
        <v>96933866.989999995</v>
      </c>
      <c r="M168" s="66">
        <v>76141518.280000001</v>
      </c>
      <c r="N168" s="66">
        <v>73127007.900000006</v>
      </c>
      <c r="O168" s="66"/>
      <c r="P168" s="66">
        <f>+P166-P167</f>
        <v>0</v>
      </c>
      <c r="S168" s="66"/>
      <c r="W168" s="66"/>
    </row>
    <row r="169" spans="1:24" s="58" customFormat="1">
      <c r="A169" s="37"/>
      <c r="D169" s="66"/>
      <c r="H169" s="66"/>
      <c r="I169" s="66"/>
      <c r="K169" s="66"/>
      <c r="L169" s="66">
        <f>+L167-L168</f>
        <v>-96933866.989999995</v>
      </c>
      <c r="M169" s="66">
        <f>+M168-M167</f>
        <v>76141518.280000001</v>
      </c>
      <c r="N169" s="66">
        <f>+N167-N168</f>
        <v>-73127007.900000006</v>
      </c>
      <c r="O169" s="66"/>
      <c r="Q169" s="66"/>
      <c r="R169" s="66"/>
    </row>
    <row r="170" spans="1:24" s="58" customFormat="1">
      <c r="A170" s="37"/>
      <c r="D170" s="66"/>
      <c r="I170" s="66">
        <v>442308.16</v>
      </c>
      <c r="M170" s="66"/>
      <c r="Q170" s="66"/>
      <c r="R170" s="66"/>
    </row>
    <row r="171" spans="1:24" s="58" customFormat="1">
      <c r="A171" s="37"/>
      <c r="I171" s="66" t="e">
        <f>+I170+I157</f>
        <v>#REF!</v>
      </c>
      <c r="J171" s="66"/>
      <c r="Q171" s="66"/>
      <c r="R171" s="66"/>
    </row>
    <row r="172" spans="1:24" s="58" customFormat="1">
      <c r="A172" s="37"/>
      <c r="I172" s="66" t="e">
        <f>+I171-64056504.95</f>
        <v>#REF!</v>
      </c>
    </row>
    <row r="173" spans="1:24" s="58" customFormat="1">
      <c r="A173" s="37"/>
    </row>
    <row r="174" spans="1:24" s="58" customFormat="1">
      <c r="A174" s="37"/>
    </row>
    <row r="175" spans="1:24" s="58" customFormat="1">
      <c r="A175" s="37"/>
    </row>
    <row r="176" spans="1:24" s="58" customFormat="1">
      <c r="A176" s="37"/>
    </row>
    <row r="177" spans="1:24" s="58" customFormat="1">
      <c r="A177" s="37"/>
    </row>
    <row r="178" spans="1:24" s="58" customFormat="1">
      <c r="A178" s="37"/>
    </row>
    <row r="179" spans="1:24" s="58" customFormat="1">
      <c r="A179" s="37"/>
    </row>
    <row r="180" spans="1:24" s="58" customFormat="1">
      <c r="A180" s="37"/>
    </row>
    <row r="181" spans="1:24" s="58" customFormat="1">
      <c r="A181" s="37"/>
    </row>
    <row r="182" spans="1:24" s="58" customFormat="1">
      <c r="A182" s="37"/>
    </row>
    <row r="183" spans="1:24" s="58" customFormat="1">
      <c r="A183" s="37"/>
    </row>
    <row r="184" spans="1:24" s="58" customFormat="1">
      <c r="A184" s="37"/>
    </row>
    <row r="185" spans="1:24">
      <c r="D185" s="58"/>
      <c r="E185" s="58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W185" s="4"/>
      <c r="X185" s="4"/>
    </row>
    <row r="186" spans="1:24">
      <c r="D186" s="58"/>
      <c r="E186" s="58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W186" s="4"/>
      <c r="X186" s="4"/>
    </row>
    <row r="187" spans="1:24">
      <c r="D187" s="58"/>
      <c r="E187" s="58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W187" s="4"/>
      <c r="X187" s="4"/>
    </row>
  </sheetData>
  <mergeCells count="12">
    <mergeCell ref="B9:X9"/>
    <mergeCell ref="B165:X165"/>
    <mergeCell ref="B166:X166"/>
    <mergeCell ref="B167:X167"/>
    <mergeCell ref="C2:C3"/>
    <mergeCell ref="B8:X8"/>
    <mergeCell ref="B7:X7"/>
    <mergeCell ref="B6:X6"/>
    <mergeCell ref="B5:X5"/>
    <mergeCell ref="B4:X4"/>
    <mergeCell ref="K164:N164"/>
    <mergeCell ref="Q13:R13"/>
  </mergeCells>
  <pageMargins left="0.31496062992125984" right="0.15748031496062992" top="0.31496062992125984" bottom="0.35433070866141736" header="0.74803149606299213" footer="0.15748031496062992"/>
  <pageSetup paperSize="5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96"/>
  <sheetViews>
    <sheetView topLeftCell="A152" zoomScale="112" zoomScaleNormal="112" workbookViewId="0">
      <selection activeCell="C39" sqref="C39"/>
    </sheetView>
  </sheetViews>
  <sheetFormatPr baseColWidth="10" defaultRowHeight="15"/>
  <cols>
    <col min="1" max="1" width="1.42578125" style="36" customWidth="1"/>
    <col min="2" max="2" width="11.140625" style="4" customWidth="1"/>
    <col min="3" max="3" width="49.28515625" style="4" customWidth="1"/>
    <col min="4" max="4" width="16.140625" style="4" bestFit="1" customWidth="1"/>
    <col min="5" max="5" width="15.140625" style="68" hidden="1" customWidth="1"/>
    <col min="6" max="8" width="14.28515625" style="58" hidden="1" customWidth="1"/>
    <col min="9" max="9" width="15.140625" style="58" hidden="1" customWidth="1"/>
    <col min="10" max="16" width="14.28515625" style="58" hidden="1" customWidth="1"/>
    <col min="17" max="17" width="13.42578125" style="58" bestFit="1" customWidth="1"/>
    <col min="18" max="18" width="13.42578125" style="118" bestFit="1" customWidth="1"/>
    <col min="19" max="19" width="14.42578125" style="58" bestFit="1" customWidth="1"/>
    <col min="20" max="20" width="11.28515625" style="58" bestFit="1" customWidth="1"/>
    <col min="21" max="21" width="15" style="4" hidden="1" customWidth="1"/>
    <col min="22" max="22" width="13.85546875" style="4" hidden="1" customWidth="1"/>
    <col min="23" max="23" width="16" style="58" bestFit="1" customWidth="1"/>
    <col min="24" max="24" width="9.7109375" style="58" bestFit="1" customWidth="1"/>
    <col min="25" max="16384" width="11.42578125" style="4"/>
  </cols>
  <sheetData>
    <row r="1" spans="1:24">
      <c r="A1" s="37"/>
      <c r="E1" s="58"/>
    </row>
    <row r="2" spans="1:24">
      <c r="A2" s="1"/>
      <c r="B2" s="2"/>
      <c r="C2" s="186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S2" s="2"/>
      <c r="T2" s="2"/>
      <c r="U2" s="3"/>
      <c r="V2" s="3"/>
      <c r="W2" s="2"/>
      <c r="X2" s="2"/>
    </row>
    <row r="3" spans="1:24">
      <c r="A3" s="1"/>
      <c r="B3" s="2"/>
      <c r="C3" s="186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2"/>
      <c r="T3" s="2"/>
      <c r="U3" s="3"/>
      <c r="V3" s="3"/>
      <c r="W3" s="2"/>
      <c r="X3" s="2"/>
    </row>
    <row r="4" spans="1:24" ht="15.75">
      <c r="A4" s="1"/>
      <c r="B4" s="183" t="s">
        <v>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24" ht="18.75">
      <c r="A5" s="1"/>
      <c r="B5" s="188" t="s">
        <v>1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</row>
    <row r="6" spans="1:24" ht="16.5" customHeight="1">
      <c r="A6" s="1"/>
      <c r="B6" s="188" t="s">
        <v>2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</row>
    <row r="7" spans="1:24" ht="15.75">
      <c r="A7" s="1"/>
      <c r="B7" s="183" t="s">
        <v>3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</row>
    <row r="8" spans="1:24">
      <c r="A8" s="1"/>
      <c r="B8" s="187" t="s">
        <v>177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</row>
    <row r="9" spans="1:24" ht="15.75">
      <c r="A9" s="1"/>
      <c r="B9" s="183" t="s">
        <v>178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</row>
    <row r="10" spans="1:24" ht="6" customHeight="1">
      <c r="A10" s="1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S10" s="2"/>
      <c r="T10" s="2"/>
      <c r="U10" s="3"/>
      <c r="V10" s="3"/>
      <c r="W10" s="2"/>
      <c r="X10" s="2"/>
    </row>
    <row r="11" spans="1:24" ht="6" customHeight="1">
      <c r="A11" s="1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S11" s="2"/>
      <c r="T11" s="2"/>
      <c r="U11" s="3"/>
      <c r="V11" s="3"/>
      <c r="W11" s="2"/>
      <c r="X11" s="2"/>
    </row>
    <row r="12" spans="1:24" ht="6" customHeight="1">
      <c r="A12" s="1"/>
      <c r="B12" s="2"/>
      <c r="C12" s="2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3"/>
      <c r="V12" s="3"/>
      <c r="W12" s="2"/>
      <c r="X12" s="2"/>
    </row>
    <row r="13" spans="1:24" ht="15.75" customHeight="1">
      <c r="A13" s="5"/>
      <c r="B13" s="191" t="s">
        <v>4</v>
      </c>
      <c r="C13" s="194" t="s">
        <v>5</v>
      </c>
      <c r="D13" s="102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6"/>
      <c r="W13" s="103"/>
      <c r="X13" s="103"/>
    </row>
    <row r="14" spans="1:24" ht="19.5">
      <c r="A14" s="5"/>
      <c r="B14" s="192"/>
      <c r="C14" s="195"/>
      <c r="D14" s="112">
        <v>2019</v>
      </c>
      <c r="E14" s="112">
        <v>2019</v>
      </c>
      <c r="F14" s="108" t="s">
        <v>6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90" t="s">
        <v>6</v>
      </c>
      <c r="R14" s="198"/>
      <c r="S14" s="104" t="s">
        <v>7</v>
      </c>
      <c r="T14" s="104" t="s">
        <v>8</v>
      </c>
      <c r="U14" s="7" t="s">
        <v>7</v>
      </c>
      <c r="V14" s="7" t="s">
        <v>9</v>
      </c>
      <c r="W14" s="7" t="s">
        <v>277</v>
      </c>
      <c r="X14" s="7" t="s">
        <v>8</v>
      </c>
    </row>
    <row r="15" spans="1:24">
      <c r="A15" s="5"/>
      <c r="B15" s="193"/>
      <c r="C15" s="196"/>
      <c r="D15" s="112" t="s">
        <v>10</v>
      </c>
      <c r="E15" s="112" t="s">
        <v>11</v>
      </c>
      <c r="F15" s="104" t="s">
        <v>12</v>
      </c>
      <c r="G15" s="104" t="s">
        <v>13</v>
      </c>
      <c r="H15" s="104" t="s">
        <v>14</v>
      </c>
      <c r="I15" s="104" t="s">
        <v>15</v>
      </c>
      <c r="J15" s="104" t="s">
        <v>16</v>
      </c>
      <c r="K15" s="104" t="s">
        <v>17</v>
      </c>
      <c r="L15" s="104" t="s">
        <v>18</v>
      </c>
      <c r="M15" s="104" t="s">
        <v>19</v>
      </c>
      <c r="N15" s="104" t="s">
        <v>20</v>
      </c>
      <c r="O15" s="104" t="s">
        <v>21</v>
      </c>
      <c r="P15" s="104" t="s">
        <v>22</v>
      </c>
      <c r="Q15" s="104" t="s">
        <v>12</v>
      </c>
      <c r="R15" s="119" t="s">
        <v>13</v>
      </c>
      <c r="S15" s="104" t="s">
        <v>23</v>
      </c>
      <c r="T15" s="104" t="s">
        <v>23</v>
      </c>
      <c r="U15" s="7" t="s">
        <v>24</v>
      </c>
      <c r="V15" s="7" t="s">
        <v>24</v>
      </c>
      <c r="W15" s="7" t="s">
        <v>276</v>
      </c>
      <c r="X15" s="7" t="s">
        <v>276</v>
      </c>
    </row>
    <row r="16" spans="1:24">
      <c r="A16" s="5"/>
      <c r="B16" s="87" t="s">
        <v>25</v>
      </c>
      <c r="C16" s="8" t="s">
        <v>26</v>
      </c>
      <c r="D16" s="9">
        <f t="shared" ref="D16:P16" si="0">SUM(D18:D34)</f>
        <v>1064157849</v>
      </c>
      <c r="E16" s="9">
        <f t="shared" si="0"/>
        <v>82605822.149166673</v>
      </c>
      <c r="F16" s="105">
        <f t="shared" si="0"/>
        <v>80064906.939999998</v>
      </c>
      <c r="G16" s="105">
        <f t="shared" si="0"/>
        <v>51857716.390000001</v>
      </c>
      <c r="H16" s="105">
        <f t="shared" si="0"/>
        <v>51436438.82</v>
      </c>
      <c r="I16" s="105">
        <f t="shared" si="0"/>
        <v>51135379.960000001</v>
      </c>
      <c r="J16" s="105">
        <f t="shared" si="0"/>
        <v>51547466.620000005</v>
      </c>
      <c r="K16" s="105">
        <f t="shared" si="0"/>
        <v>51961921.140000001</v>
      </c>
      <c r="L16" s="105">
        <f t="shared" si="0"/>
        <v>52069267.640000001</v>
      </c>
      <c r="M16" s="105">
        <f t="shared" si="0"/>
        <v>52285582.730000004</v>
      </c>
      <c r="N16" s="105">
        <f t="shared" si="0"/>
        <v>55652936.899999999</v>
      </c>
      <c r="O16" s="105">
        <f t="shared" si="0"/>
        <v>53489623.989999995</v>
      </c>
      <c r="P16" s="105">
        <f t="shared" si="0"/>
        <v>53852557.870000005</v>
      </c>
      <c r="Q16" s="105">
        <f>+Q18+Q19+Q20+Q21+Q23+Q24+Q25+Q26+Q28+Q30+Q32+Q33+Q34</f>
        <v>74457684.830000013</v>
      </c>
      <c r="R16" s="120">
        <f>SUM(R18:R34)</f>
        <v>87108847.310000002</v>
      </c>
      <c r="S16" s="106">
        <f>+Q16+R16</f>
        <v>161566532.14000002</v>
      </c>
      <c r="T16" s="107">
        <f t="shared" ref="T16:T50" si="1">+S16/D16</f>
        <v>0.15182572049045706</v>
      </c>
      <c r="U16" s="13">
        <f>SUM(U18:U34)</f>
        <v>813392466.89999998</v>
      </c>
      <c r="V16" s="14">
        <f t="shared" ref="V16:V35" si="2">+U16/D16</f>
        <v>0.76435320912621485</v>
      </c>
      <c r="W16" s="13">
        <f>SUM(W18:W34)</f>
        <v>911631166.89999998</v>
      </c>
      <c r="X16" s="14">
        <f>+W16/D16</f>
        <v>0.85666911892504394</v>
      </c>
    </row>
    <row r="17" spans="1:32">
      <c r="A17" s="5"/>
      <c r="B17" s="87"/>
      <c r="C17" s="8"/>
      <c r="D17" s="115"/>
      <c r="E17" s="116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>
        <f>SUM(Q18:Q21)</f>
        <v>65649614.369999997</v>
      </c>
      <c r="R17" s="121">
        <f>SUM(R18:R21)</f>
        <v>68991647.229999989</v>
      </c>
      <c r="S17" s="11"/>
      <c r="T17" s="12"/>
      <c r="U17" s="13"/>
      <c r="V17" s="14"/>
      <c r="W17" s="96"/>
      <c r="X17" s="97"/>
    </row>
    <row r="18" spans="1:32" ht="15.75">
      <c r="A18" s="5"/>
      <c r="B18" s="69" t="s">
        <v>179</v>
      </c>
      <c r="C18" s="70" t="s">
        <v>27</v>
      </c>
      <c r="D18" s="71">
        <f>818941536.08-43200000-74019000</f>
        <v>701722536.08000004</v>
      </c>
      <c r="E18" s="17">
        <f>+D18/12</f>
        <v>58476878.006666668</v>
      </c>
      <c r="F18" s="17">
        <v>27924644.98</v>
      </c>
      <c r="G18" s="17">
        <v>27888683.829999998</v>
      </c>
      <c r="H18" s="17">
        <v>28053912.460000001</v>
      </c>
      <c r="I18" s="17">
        <v>27810505.199999999</v>
      </c>
      <c r="J18" s="17">
        <v>27998340.260000002</v>
      </c>
      <c r="K18" s="17">
        <v>28467424.780000001</v>
      </c>
      <c r="L18" s="17">
        <v>28396849.280000001</v>
      </c>
      <c r="M18" s="17">
        <v>28713505.370000001</v>
      </c>
      <c r="N18" s="17">
        <v>29135451.539999999</v>
      </c>
      <c r="O18" s="17">
        <f>29532570.63+112500</f>
        <v>29645070.629999999</v>
      </c>
      <c r="P18" s="17">
        <v>29419040.66</v>
      </c>
      <c r="Q18" s="83">
        <f>54049614.37</f>
        <v>54049614.369999997</v>
      </c>
      <c r="R18" s="122">
        <v>55380397.229999997</v>
      </c>
      <c r="S18" s="18">
        <f>+Q18+R18</f>
        <v>109430011.59999999</v>
      </c>
      <c r="T18" s="19">
        <f t="shared" si="1"/>
        <v>0.15594484425611266</v>
      </c>
      <c r="U18" s="20">
        <f>+D18-S18</f>
        <v>592292524.48000002</v>
      </c>
      <c r="V18" s="21">
        <f t="shared" si="2"/>
        <v>0.84405515574388734</v>
      </c>
      <c r="W18" s="18">
        <f>+D18-S18</f>
        <v>592292524.48000002</v>
      </c>
      <c r="X18" s="19">
        <f>+W18/D18</f>
        <v>0.84405515574388734</v>
      </c>
      <c r="Y18" s="3"/>
      <c r="Z18" s="3"/>
      <c r="AA18" s="3"/>
      <c r="AB18" s="3"/>
      <c r="AC18" s="3"/>
      <c r="AD18" s="3"/>
      <c r="AE18" s="3"/>
      <c r="AF18" s="3"/>
    </row>
    <row r="19" spans="1:32" ht="15.75">
      <c r="A19" s="5"/>
      <c r="B19" s="69" t="s">
        <v>180</v>
      </c>
      <c r="C19" s="70" t="s">
        <v>266</v>
      </c>
      <c r="D19" s="71">
        <v>96000000</v>
      </c>
      <c r="E19" s="17">
        <f t="shared" ref="E19:E34" si="3">+D19/12</f>
        <v>8000000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83">
        <v>8000000</v>
      </c>
      <c r="R19" s="122">
        <v>10000000</v>
      </c>
      <c r="S19" s="18">
        <f t="shared" ref="S19:S34" si="4">+Q19+R19</f>
        <v>18000000</v>
      </c>
      <c r="T19" s="19">
        <f t="shared" si="1"/>
        <v>0.1875</v>
      </c>
      <c r="U19" s="20">
        <f>+D19-S19</f>
        <v>78000000</v>
      </c>
      <c r="V19" s="21">
        <f t="shared" si="2"/>
        <v>0.8125</v>
      </c>
      <c r="W19" s="18">
        <f t="shared" ref="W19:W34" si="5">+D19-S19</f>
        <v>78000000</v>
      </c>
      <c r="X19" s="19">
        <f t="shared" ref="X19:X34" si="6">+W19/D19</f>
        <v>0.8125</v>
      </c>
      <c r="Y19" s="3"/>
      <c r="Z19" s="3"/>
      <c r="AA19" s="3"/>
      <c r="AB19" s="3"/>
      <c r="AC19" s="3"/>
      <c r="AD19" s="3"/>
      <c r="AE19" s="3"/>
      <c r="AF19" s="3"/>
    </row>
    <row r="20" spans="1:32" ht="15.75">
      <c r="A20" s="5"/>
      <c r="B20" s="69" t="s">
        <v>180</v>
      </c>
      <c r="C20" s="70" t="s">
        <v>181</v>
      </c>
      <c r="D20" s="71">
        <f>3600000*12</f>
        <v>43200000</v>
      </c>
      <c r="E20" s="17">
        <f>+D20/12</f>
        <v>3600000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83">
        <v>3600000</v>
      </c>
      <c r="R20" s="122">
        <v>3600000</v>
      </c>
      <c r="S20" s="18">
        <f t="shared" si="4"/>
        <v>7200000</v>
      </c>
      <c r="T20" s="19">
        <f t="shared" si="1"/>
        <v>0.16666666666666666</v>
      </c>
      <c r="U20" s="20"/>
      <c r="V20" s="21"/>
      <c r="W20" s="18">
        <f t="shared" si="5"/>
        <v>36000000</v>
      </c>
      <c r="X20" s="19">
        <f t="shared" si="6"/>
        <v>0.83333333333333337</v>
      </c>
      <c r="Y20" s="3"/>
      <c r="Z20" s="3"/>
      <c r="AA20" s="3"/>
      <c r="AB20" s="3"/>
      <c r="AC20" s="3"/>
      <c r="AD20" s="3"/>
      <c r="AE20" s="3"/>
      <c r="AF20" s="3"/>
    </row>
    <row r="21" spans="1:32" ht="15.75">
      <c r="A21" s="5"/>
      <c r="B21" s="69" t="s">
        <v>182</v>
      </c>
      <c r="C21" s="70" t="s">
        <v>28</v>
      </c>
      <c r="D21" s="71">
        <v>72887983.209999993</v>
      </c>
      <c r="E21" s="17">
        <v>0</v>
      </c>
      <c r="F21" s="17">
        <f>45500+9436260.36+27000</f>
        <v>9508760.3599999994</v>
      </c>
      <c r="G21" s="17">
        <f>45500+9676760.36</f>
        <v>9722260.3599999994</v>
      </c>
      <c r="H21" s="17">
        <f>9740060.36+45500</f>
        <v>9785560.3599999994</v>
      </c>
      <c r="I21" s="17">
        <v>9685656.3599999994</v>
      </c>
      <c r="J21" s="17">
        <f>91000+9667386.36</f>
        <v>9758386.3599999994</v>
      </c>
      <c r="K21" s="17">
        <f>45500+9868072.36</f>
        <v>9913572.3599999994</v>
      </c>
      <c r="L21" s="17">
        <f>45500+9841102.36</f>
        <v>9886602.3599999994</v>
      </c>
      <c r="M21" s="17">
        <f>45500+9893477.36</f>
        <v>9938977.3599999994</v>
      </c>
      <c r="N21" s="17">
        <f>45500+9995807.36</f>
        <v>10041307.359999999</v>
      </c>
      <c r="O21" s="17">
        <f>45500+10059107.36</f>
        <v>10104607.359999999</v>
      </c>
      <c r="P21" s="17">
        <f>45500+10143125.21</f>
        <v>10188625.210000001</v>
      </c>
      <c r="Q21" s="83">
        <v>0</v>
      </c>
      <c r="R21" s="122">
        <v>11250</v>
      </c>
      <c r="S21" s="18">
        <f t="shared" si="4"/>
        <v>11250</v>
      </c>
      <c r="T21" s="19">
        <f t="shared" si="1"/>
        <v>1.5434643002245309E-4</v>
      </c>
      <c r="U21" s="20">
        <f>+D21-S21</f>
        <v>72876733.209999993</v>
      </c>
      <c r="V21" s="21">
        <f t="shared" si="2"/>
        <v>0.99984565356997757</v>
      </c>
      <c r="W21" s="18">
        <f t="shared" si="5"/>
        <v>72876733.209999993</v>
      </c>
      <c r="X21" s="19">
        <f t="shared" si="6"/>
        <v>0.99984565356997757</v>
      </c>
      <c r="Y21" s="3"/>
      <c r="Z21" s="3"/>
      <c r="AA21" s="3"/>
      <c r="AB21" s="3"/>
      <c r="AC21" s="3"/>
      <c r="AD21" s="3"/>
      <c r="AE21" s="3"/>
      <c r="AF21" s="3"/>
    </row>
    <row r="22" spans="1:32" ht="15.75">
      <c r="A22" s="5"/>
      <c r="B22" s="69"/>
      <c r="C22" s="70"/>
      <c r="D22" s="71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17">
        <f>SUM(Q23:Q26)</f>
        <v>7458431</v>
      </c>
      <c r="R22" s="123">
        <f>SUM(R23:R26)</f>
        <v>7876552</v>
      </c>
      <c r="S22" s="18"/>
      <c r="T22" s="19"/>
      <c r="U22" s="20"/>
      <c r="V22" s="21"/>
      <c r="W22" s="18"/>
      <c r="X22" s="19"/>
      <c r="Y22" s="3"/>
      <c r="Z22" s="3"/>
      <c r="AA22" s="3"/>
      <c r="AB22" s="3"/>
      <c r="AC22" s="3"/>
      <c r="AD22" s="3"/>
      <c r="AE22" s="3"/>
      <c r="AF22" s="3"/>
    </row>
    <row r="23" spans="1:32" s="22" customFormat="1" ht="15.75">
      <c r="A23" s="5"/>
      <c r="B23" s="69" t="s">
        <v>183</v>
      </c>
      <c r="C23" s="70" t="s">
        <v>29</v>
      </c>
      <c r="D23" s="71">
        <v>27933012.93</v>
      </c>
      <c r="E23" s="17">
        <f t="shared" si="3"/>
        <v>2327751.0775000001</v>
      </c>
      <c r="F23" s="17">
        <v>3495501.6</v>
      </c>
      <c r="G23" s="17">
        <v>5110772.2</v>
      </c>
      <c r="H23" s="17">
        <v>4485966</v>
      </c>
      <c r="I23" s="17">
        <v>4493218.4000000004</v>
      </c>
      <c r="J23" s="17">
        <v>4595590</v>
      </c>
      <c r="K23" s="17">
        <v>4385774</v>
      </c>
      <c r="L23" s="17">
        <v>4564816</v>
      </c>
      <c r="M23" s="17">
        <v>4442100</v>
      </c>
      <c r="N23" s="17">
        <v>5199178</v>
      </c>
      <c r="O23" s="17">
        <v>4478946</v>
      </c>
      <c r="P23" s="17">
        <v>4983892</v>
      </c>
      <c r="Q23" s="83">
        <v>1244681</v>
      </c>
      <c r="R23" s="122">
        <v>1585002</v>
      </c>
      <c r="S23" s="18">
        <f t="shared" si="4"/>
        <v>2829683</v>
      </c>
      <c r="T23" s="19">
        <f t="shared" si="1"/>
        <v>0.10130246268425008</v>
      </c>
      <c r="U23" s="20">
        <f t="shared" ref="U23:U34" si="7">+D23-S23</f>
        <v>25103329.93</v>
      </c>
      <c r="V23" s="21">
        <f t="shared" si="2"/>
        <v>0.89869753731574997</v>
      </c>
      <c r="W23" s="18">
        <f t="shared" si="5"/>
        <v>25103329.93</v>
      </c>
      <c r="X23" s="19">
        <f t="shared" si="6"/>
        <v>0.89869753731574997</v>
      </c>
      <c r="Y23" s="3"/>
      <c r="Z23" s="3"/>
      <c r="AA23" s="3"/>
      <c r="AB23" s="3"/>
      <c r="AC23" s="3"/>
      <c r="AD23" s="3"/>
      <c r="AE23" s="3"/>
      <c r="AF23" s="3"/>
    </row>
    <row r="24" spans="1:32" s="2" customFormat="1" ht="15.75">
      <c r="A24" s="1"/>
      <c r="B24" s="69" t="s">
        <v>267</v>
      </c>
      <c r="C24" s="70" t="s">
        <v>268</v>
      </c>
      <c r="D24" s="71">
        <f>6168250*12</f>
        <v>74019000</v>
      </c>
      <c r="E24" s="17">
        <f>+D24/12</f>
        <v>6168250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83">
        <f>45500+6168250</f>
        <v>6213750</v>
      </c>
      <c r="R24" s="122">
        <v>6291550</v>
      </c>
      <c r="S24" s="18">
        <f t="shared" si="4"/>
        <v>12505300</v>
      </c>
      <c r="T24" s="19">
        <f t="shared" si="1"/>
        <v>0.16894716221510694</v>
      </c>
      <c r="U24" s="20"/>
      <c r="V24" s="21"/>
      <c r="W24" s="18">
        <f t="shared" si="5"/>
        <v>61513700</v>
      </c>
      <c r="X24" s="19">
        <f t="shared" si="6"/>
        <v>0.83105283778489303</v>
      </c>
      <c r="Y24" s="3"/>
      <c r="Z24" s="3"/>
      <c r="AA24" s="3"/>
      <c r="AB24" s="3"/>
      <c r="AC24" s="3"/>
      <c r="AD24" s="3"/>
      <c r="AE24" s="3"/>
      <c r="AF24" s="3"/>
    </row>
    <row r="25" spans="1:32" s="2" customFormat="1" ht="15.75">
      <c r="A25" s="1"/>
      <c r="B25" s="69" t="s">
        <v>184</v>
      </c>
      <c r="C25" s="70" t="s">
        <v>185</v>
      </c>
      <c r="D25" s="71">
        <v>1560000</v>
      </c>
      <c r="E25" s="17">
        <f t="shared" si="3"/>
        <v>130000</v>
      </c>
      <c r="F25" s="17">
        <v>38000000</v>
      </c>
      <c r="G25" s="17">
        <v>8000000</v>
      </c>
      <c r="H25" s="17">
        <v>8000000</v>
      </c>
      <c r="I25" s="17">
        <v>8000000</v>
      </c>
      <c r="J25" s="17">
        <v>8000000</v>
      </c>
      <c r="K25" s="17">
        <v>8000000</v>
      </c>
      <c r="L25" s="17">
        <v>8000000</v>
      </c>
      <c r="M25" s="17">
        <v>8000000</v>
      </c>
      <c r="N25" s="17">
        <v>8000000</v>
      </c>
      <c r="O25" s="17">
        <v>8000000</v>
      </c>
      <c r="P25" s="17">
        <v>8000000</v>
      </c>
      <c r="Q25" s="83">
        <v>0</v>
      </c>
      <c r="R25" s="122">
        <v>0</v>
      </c>
      <c r="S25" s="18">
        <f t="shared" si="4"/>
        <v>0</v>
      </c>
      <c r="T25" s="19">
        <f t="shared" si="1"/>
        <v>0</v>
      </c>
      <c r="U25" s="20">
        <f t="shared" si="7"/>
        <v>1560000</v>
      </c>
      <c r="V25" s="21">
        <f t="shared" si="2"/>
        <v>1</v>
      </c>
      <c r="W25" s="18">
        <f t="shared" si="5"/>
        <v>1560000</v>
      </c>
      <c r="X25" s="19">
        <f t="shared" si="6"/>
        <v>1</v>
      </c>
    </row>
    <row r="26" spans="1:32" s="2" customFormat="1" ht="15.75">
      <c r="A26" s="1"/>
      <c r="B26" s="69" t="s">
        <v>282</v>
      </c>
      <c r="C26" s="110" t="s">
        <v>281</v>
      </c>
      <c r="D26" s="71">
        <v>350000</v>
      </c>
      <c r="E26" s="17">
        <f t="shared" si="3"/>
        <v>29166.666666666668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84">
        <v>0</v>
      </c>
      <c r="R26" s="124">
        <v>0</v>
      </c>
      <c r="S26" s="18">
        <f t="shared" si="4"/>
        <v>0</v>
      </c>
      <c r="T26" s="19">
        <f t="shared" si="1"/>
        <v>0</v>
      </c>
      <c r="U26" s="20"/>
      <c r="V26" s="21"/>
      <c r="W26" s="18">
        <f t="shared" si="5"/>
        <v>350000</v>
      </c>
      <c r="X26" s="19">
        <f t="shared" si="6"/>
        <v>1</v>
      </c>
    </row>
    <row r="27" spans="1:32" s="2" customFormat="1" ht="15.75">
      <c r="A27" s="1"/>
      <c r="B27" s="69"/>
      <c r="C27" s="110"/>
      <c r="D27" s="71"/>
      <c r="E27" s="17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84"/>
      <c r="R27" s="124"/>
      <c r="S27" s="18"/>
      <c r="T27" s="19"/>
      <c r="U27" s="20"/>
      <c r="V27" s="21"/>
      <c r="W27" s="18"/>
      <c r="X27" s="19"/>
    </row>
    <row r="28" spans="1:32" s="2" customFormat="1" ht="15.75">
      <c r="A28" s="1"/>
      <c r="B28" s="69" t="s">
        <v>254</v>
      </c>
      <c r="C28" s="94" t="s">
        <v>269</v>
      </c>
      <c r="D28" s="95">
        <f>450000+30000+37000-700-66300</f>
        <v>450000</v>
      </c>
      <c r="E28" s="17">
        <f>+D28/12</f>
        <v>37500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84">
        <v>37500</v>
      </c>
      <c r="R28" s="125">
        <v>37500</v>
      </c>
      <c r="S28" s="18">
        <f t="shared" si="4"/>
        <v>75000</v>
      </c>
      <c r="T28" s="19">
        <f t="shared" si="1"/>
        <v>0.16666666666666666</v>
      </c>
      <c r="U28" s="20"/>
      <c r="V28" s="21"/>
      <c r="W28" s="18">
        <f t="shared" si="5"/>
        <v>375000</v>
      </c>
      <c r="X28" s="19">
        <f t="shared" si="6"/>
        <v>0.83333333333333337</v>
      </c>
    </row>
    <row r="29" spans="1:32" s="2" customFormat="1" ht="15.75">
      <c r="A29" s="1"/>
      <c r="B29" s="69"/>
      <c r="C29" s="94"/>
      <c r="D29" s="95"/>
      <c r="E29" s="17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84"/>
      <c r="R29" s="124"/>
      <c r="S29" s="18"/>
      <c r="T29" s="19"/>
      <c r="U29" s="20"/>
      <c r="V29" s="21"/>
      <c r="W29" s="18"/>
      <c r="X29" s="19"/>
    </row>
    <row r="30" spans="1:32" s="2" customFormat="1" ht="15.75">
      <c r="A30" s="1"/>
      <c r="B30" s="69" t="s">
        <v>186</v>
      </c>
      <c r="C30" s="70" t="s">
        <v>30</v>
      </c>
      <c r="D30" s="71">
        <v>2000000</v>
      </c>
      <c r="E30" s="17">
        <f t="shared" si="3"/>
        <v>166666.66666666666</v>
      </c>
      <c r="F30" s="23">
        <v>1098500</v>
      </c>
      <c r="G30" s="23">
        <v>1098500</v>
      </c>
      <c r="H30" s="23">
        <v>1073500</v>
      </c>
      <c r="I30" s="23">
        <v>1108500</v>
      </c>
      <c r="J30" s="23">
        <v>1157650</v>
      </c>
      <c r="K30" s="23">
        <v>1157650</v>
      </c>
      <c r="L30" s="23">
        <v>1183500</v>
      </c>
      <c r="M30" s="23">
        <v>1153500</v>
      </c>
      <c r="N30" s="23">
        <v>1223500</v>
      </c>
      <c r="O30" s="23">
        <v>1223500</v>
      </c>
      <c r="P30" s="23">
        <v>1223500</v>
      </c>
      <c r="Q30" s="84">
        <v>0</v>
      </c>
      <c r="R30" s="124">
        <v>0</v>
      </c>
      <c r="S30" s="18">
        <f t="shared" si="4"/>
        <v>0</v>
      </c>
      <c r="T30" s="19">
        <f t="shared" si="1"/>
        <v>0</v>
      </c>
      <c r="U30" s="20">
        <f t="shared" si="7"/>
        <v>2000000</v>
      </c>
      <c r="V30" s="21">
        <f t="shared" si="2"/>
        <v>1</v>
      </c>
      <c r="W30" s="18">
        <f t="shared" si="5"/>
        <v>2000000</v>
      </c>
      <c r="X30" s="19">
        <f t="shared" si="6"/>
        <v>1</v>
      </c>
    </row>
    <row r="31" spans="1:32" s="2" customFormat="1" ht="15.75">
      <c r="A31" s="1"/>
      <c r="B31" s="69"/>
      <c r="C31" s="70"/>
      <c r="D31" s="71"/>
      <c r="E31" s="17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84"/>
      <c r="R31" s="125">
        <f>SUM(R32:R34)</f>
        <v>1163298.04</v>
      </c>
      <c r="S31" s="18"/>
      <c r="T31" s="19"/>
      <c r="U31" s="20"/>
      <c r="V31" s="21"/>
      <c r="W31" s="18"/>
      <c r="X31" s="19"/>
    </row>
    <row r="32" spans="1:32" s="2" customFormat="1" ht="15.75">
      <c r="A32" s="1"/>
      <c r="B32" s="69" t="s">
        <v>187</v>
      </c>
      <c r="C32" s="70" t="s">
        <v>31</v>
      </c>
      <c r="D32" s="72">
        <v>24738781.219999999</v>
      </c>
      <c r="E32" s="17">
        <f t="shared" si="3"/>
        <v>2061565.1016666666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84">
        <v>1068646.56</v>
      </c>
      <c r="R32" s="124">
        <v>1007055.59</v>
      </c>
      <c r="S32" s="18">
        <f t="shared" si="4"/>
        <v>2075702.15</v>
      </c>
      <c r="T32" s="19">
        <f t="shared" si="1"/>
        <v>8.3904786235867765E-2</v>
      </c>
      <c r="U32" s="20">
        <f t="shared" si="7"/>
        <v>22663079.07</v>
      </c>
      <c r="V32" s="21">
        <f t="shared" si="2"/>
        <v>0.91609521376413228</v>
      </c>
      <c r="W32" s="18">
        <f t="shared" si="5"/>
        <v>22663079.07</v>
      </c>
      <c r="X32" s="19">
        <f t="shared" si="6"/>
        <v>0.91609521376413228</v>
      </c>
    </row>
    <row r="33" spans="1:32" s="2" customFormat="1" ht="15.75">
      <c r="A33" s="1"/>
      <c r="B33" s="69" t="s">
        <v>188</v>
      </c>
      <c r="C33" s="70" t="s">
        <v>32</v>
      </c>
      <c r="D33" s="72">
        <f>37579220.56-50000-250000-6000000-5000000-500000-1000000-500000-800000-200000-150000-300000-100000-3800000-350000-250000-50000-340000-152370-508000-3000-2500000</f>
        <v>14775850.560000002</v>
      </c>
      <c r="E33" s="17">
        <f t="shared" si="3"/>
        <v>1231320.8800000001</v>
      </c>
      <c r="F33" s="23">
        <v>37500</v>
      </c>
      <c r="G33" s="23">
        <v>37500</v>
      </c>
      <c r="H33" s="23">
        <v>37500</v>
      </c>
      <c r="I33" s="23">
        <v>37500</v>
      </c>
      <c r="J33" s="23">
        <v>37500</v>
      </c>
      <c r="K33" s="23">
        <v>37500</v>
      </c>
      <c r="L33" s="23">
        <v>37500</v>
      </c>
      <c r="M33" s="23">
        <v>37500</v>
      </c>
      <c r="N33" s="23">
        <v>37500</v>
      </c>
      <c r="O33" s="23">
        <v>37500</v>
      </c>
      <c r="P33" s="23">
        <v>37500</v>
      </c>
      <c r="Q33" s="84">
        <v>0</v>
      </c>
      <c r="R33" s="124">
        <v>0</v>
      </c>
      <c r="S33" s="18">
        <f t="shared" si="4"/>
        <v>0</v>
      </c>
      <c r="T33" s="19">
        <f t="shared" si="1"/>
        <v>0</v>
      </c>
      <c r="U33" s="20">
        <f t="shared" si="7"/>
        <v>14775850.560000002</v>
      </c>
      <c r="V33" s="21">
        <f t="shared" si="2"/>
        <v>1</v>
      </c>
      <c r="W33" s="18">
        <f t="shared" si="5"/>
        <v>14775850.560000002</v>
      </c>
      <c r="X33" s="19">
        <f t="shared" si="6"/>
        <v>1</v>
      </c>
    </row>
    <row r="34" spans="1:32" s="22" customFormat="1" ht="15.75">
      <c r="A34" s="5"/>
      <c r="B34" s="69" t="s">
        <v>188</v>
      </c>
      <c r="C34" s="70" t="s">
        <v>189</v>
      </c>
      <c r="D34" s="72">
        <v>4520685</v>
      </c>
      <c r="E34" s="17">
        <f t="shared" si="3"/>
        <v>376723.75</v>
      </c>
      <c r="F34" s="23"/>
      <c r="G34" s="23"/>
      <c r="H34" s="23"/>
      <c r="I34" s="23"/>
      <c r="J34" s="23"/>
      <c r="K34" s="23"/>
      <c r="L34" s="23"/>
      <c r="M34" s="23"/>
      <c r="N34" s="23">
        <v>2016000</v>
      </c>
      <c r="O34" s="23"/>
      <c r="P34" s="23"/>
      <c r="Q34" s="84">
        <v>243492.9</v>
      </c>
      <c r="R34" s="124">
        <v>156242.45000000001</v>
      </c>
      <c r="S34" s="18">
        <f t="shared" si="4"/>
        <v>399735.35</v>
      </c>
      <c r="T34" s="19">
        <f t="shared" si="1"/>
        <v>8.8423623853464681E-2</v>
      </c>
      <c r="U34" s="20">
        <f t="shared" si="7"/>
        <v>4120949.65</v>
      </c>
      <c r="V34" s="21">
        <f t="shared" si="2"/>
        <v>0.91157637614653531</v>
      </c>
      <c r="W34" s="18">
        <f t="shared" si="5"/>
        <v>4120949.65</v>
      </c>
      <c r="X34" s="19">
        <f t="shared" si="6"/>
        <v>0.91157637614653531</v>
      </c>
      <c r="Y34" s="3"/>
      <c r="Z34" s="3"/>
      <c r="AA34" s="3"/>
      <c r="AB34" s="3"/>
      <c r="AC34" s="3"/>
      <c r="AD34" s="3"/>
      <c r="AE34" s="3"/>
      <c r="AF34" s="3"/>
    </row>
    <row r="35" spans="1:32" s="22" customFormat="1">
      <c r="A35" s="5"/>
      <c r="B35" s="88" t="s">
        <v>33</v>
      </c>
      <c r="C35" s="24" t="s">
        <v>34</v>
      </c>
      <c r="D35" s="9">
        <f t="shared" ref="D35:P35" si="8">SUM(D37:D41)</f>
        <v>17770000</v>
      </c>
      <c r="E35" s="9">
        <f>SUM(E37:E41)</f>
        <v>1464166.666666667</v>
      </c>
      <c r="F35" s="10">
        <f t="shared" si="8"/>
        <v>449011.13999999996</v>
      </c>
      <c r="G35" s="10">
        <f t="shared" si="8"/>
        <v>3773527.8</v>
      </c>
      <c r="H35" s="10">
        <f t="shared" si="8"/>
        <v>2153878.67</v>
      </c>
      <c r="I35" s="10">
        <f t="shared" si="8"/>
        <v>1851543.62</v>
      </c>
      <c r="J35" s="10">
        <f t="shared" si="8"/>
        <v>1530016.42</v>
      </c>
      <c r="K35" s="10">
        <f t="shared" si="8"/>
        <v>2580164.09</v>
      </c>
      <c r="L35" s="10">
        <f t="shared" si="8"/>
        <v>2033453.5899999999</v>
      </c>
      <c r="M35" s="10">
        <f t="shared" si="8"/>
        <v>2025557.28</v>
      </c>
      <c r="N35" s="10">
        <f>SUM(N37:N41)</f>
        <v>2675976.4900000002</v>
      </c>
      <c r="O35" s="10">
        <f>SUM(O37:O41)</f>
        <v>2197579.83</v>
      </c>
      <c r="P35" s="10">
        <f t="shared" si="8"/>
        <v>2103354.17</v>
      </c>
      <c r="Q35" s="10">
        <f>+Q37+Q38+Q39+Q40+Q41</f>
        <v>2159972.88</v>
      </c>
      <c r="R35" s="121">
        <f>+R37+R38+R39+R40+R41</f>
        <v>640390.98</v>
      </c>
      <c r="S35" s="11">
        <f>+S37+S38+S40+S41</f>
        <v>2763940.4000000004</v>
      </c>
      <c r="T35" s="12">
        <f t="shared" si="1"/>
        <v>0.15553969611705123</v>
      </c>
      <c r="U35" s="13">
        <f>SUM(U37:U41)</f>
        <v>14806059.6</v>
      </c>
      <c r="V35" s="14">
        <f t="shared" si="2"/>
        <v>0.83320537985368592</v>
      </c>
      <c r="W35" s="96">
        <f>SUM(W37:W41)</f>
        <v>14806059.6</v>
      </c>
      <c r="X35" s="97">
        <f>+W35/D35</f>
        <v>0.83320537985368592</v>
      </c>
      <c r="Y35" s="3"/>
      <c r="Z35" s="3"/>
      <c r="AA35" s="3"/>
      <c r="AB35" s="3"/>
      <c r="AC35" s="3"/>
      <c r="AD35" s="3"/>
      <c r="AE35" s="3"/>
      <c r="AF35" s="3"/>
    </row>
    <row r="36" spans="1:32" s="22" customFormat="1" hidden="1">
      <c r="A36" s="5"/>
      <c r="B36" s="89" t="s">
        <v>35</v>
      </c>
      <c r="C36" s="15" t="s">
        <v>36</v>
      </c>
      <c r="D36" s="25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26"/>
      <c r="S36" s="17"/>
      <c r="T36" s="17"/>
      <c r="U36" s="25"/>
      <c r="V36" s="25"/>
      <c r="W36" s="17"/>
      <c r="X36" s="17"/>
      <c r="Y36" s="3"/>
      <c r="Z36" s="3"/>
      <c r="AA36" s="3"/>
      <c r="AB36" s="3"/>
      <c r="AC36" s="3"/>
      <c r="AD36" s="3"/>
      <c r="AE36" s="3"/>
      <c r="AF36" s="3"/>
    </row>
    <row r="37" spans="1:32" s="22" customFormat="1" ht="15.75">
      <c r="A37" s="5"/>
      <c r="B37" s="69" t="s">
        <v>190</v>
      </c>
      <c r="C37" s="70" t="s">
        <v>37</v>
      </c>
      <c r="D37" s="72">
        <v>15950000</v>
      </c>
      <c r="E37" s="17">
        <f t="shared" ref="E37:E50" si="9">+D37/12</f>
        <v>1329166.6666666667</v>
      </c>
      <c r="F37" s="17">
        <v>2610.16</v>
      </c>
      <c r="G37" s="17">
        <v>3071543.26</v>
      </c>
      <c r="H37" s="17">
        <v>1607829</v>
      </c>
      <c r="I37" s="17">
        <v>1098196.6200000001</v>
      </c>
      <c r="J37" s="17">
        <v>509161.48</v>
      </c>
      <c r="K37" s="17">
        <v>1685180.01</v>
      </c>
      <c r="L37" s="17">
        <v>1185608.23</v>
      </c>
      <c r="M37" s="17">
        <v>1371395.24</v>
      </c>
      <c r="N37" s="17">
        <v>2092198.21</v>
      </c>
      <c r="O37" s="17">
        <v>1605600.46</v>
      </c>
      <c r="P37" s="17">
        <v>1517491.66</v>
      </c>
      <c r="Q37" s="83">
        <v>1545874.8</v>
      </c>
      <c r="R37" s="122">
        <v>144569.60000000001</v>
      </c>
      <c r="S37" s="18">
        <f t="shared" ref="S37:S66" si="10">+Q37+R37</f>
        <v>1690444.4000000001</v>
      </c>
      <c r="T37" s="19">
        <f t="shared" si="1"/>
        <v>0.1059839749216301</v>
      </c>
      <c r="U37" s="20">
        <f>+D37-S37</f>
        <v>14259555.6</v>
      </c>
      <c r="V37" s="21">
        <f t="shared" ref="V37:V50" si="11">+U37/D37</f>
        <v>0.89401602507836986</v>
      </c>
      <c r="W37" s="18">
        <f t="shared" ref="W37:W41" si="12">+D37-S37</f>
        <v>14259555.6</v>
      </c>
      <c r="X37" s="19">
        <f t="shared" ref="X37:X41" si="13">+W37/D37</f>
        <v>0.89401602507836986</v>
      </c>
      <c r="Y37" s="3"/>
      <c r="Z37" s="3"/>
      <c r="AA37" s="3"/>
      <c r="AB37" s="3"/>
      <c r="AC37" s="3"/>
      <c r="AD37" s="3"/>
      <c r="AE37" s="3"/>
      <c r="AF37" s="3"/>
    </row>
    <row r="38" spans="1:32" s="22" customFormat="1" ht="15.75">
      <c r="A38" s="5"/>
      <c r="B38" s="69" t="s">
        <v>191</v>
      </c>
      <c r="C38" s="70" t="s">
        <v>38</v>
      </c>
      <c r="D38" s="72">
        <v>1310000</v>
      </c>
      <c r="E38" s="17">
        <f t="shared" si="9"/>
        <v>109166.66666666667</v>
      </c>
      <c r="F38" s="17">
        <v>427259.98</v>
      </c>
      <c r="G38" s="17">
        <v>691439.54</v>
      </c>
      <c r="H38" s="17">
        <v>521969.67</v>
      </c>
      <c r="I38" s="17">
        <v>748640</v>
      </c>
      <c r="J38" s="17">
        <v>994174.94</v>
      </c>
      <c r="K38" s="17">
        <v>880052.08</v>
      </c>
      <c r="L38" s="17">
        <v>844111.35999999999</v>
      </c>
      <c r="M38" s="17">
        <v>627293.04</v>
      </c>
      <c r="N38" s="17">
        <v>567633.28</v>
      </c>
      <c r="O38" s="17">
        <v>569559.37</v>
      </c>
      <c r="P38" s="17">
        <v>574850.51</v>
      </c>
      <c r="Q38" s="83">
        <v>573921.07999999996</v>
      </c>
      <c r="R38" s="122">
        <v>455731.92</v>
      </c>
      <c r="S38" s="18">
        <f t="shared" si="10"/>
        <v>1029653</v>
      </c>
      <c r="T38" s="19">
        <f t="shared" si="1"/>
        <v>0.7859946564885496</v>
      </c>
      <c r="U38" s="20">
        <f t="shared" ref="U38:U48" si="14">+D38-S38</f>
        <v>280347</v>
      </c>
      <c r="V38" s="21">
        <f t="shared" si="11"/>
        <v>0.21400534351145037</v>
      </c>
      <c r="W38" s="18">
        <f t="shared" si="12"/>
        <v>280347</v>
      </c>
      <c r="X38" s="19">
        <f t="shared" si="13"/>
        <v>0.21400534351145037</v>
      </c>
      <c r="Y38" s="3"/>
      <c r="Z38" s="3"/>
      <c r="AA38" s="3"/>
      <c r="AB38" s="3"/>
      <c r="AC38" s="3"/>
      <c r="AD38" s="3"/>
      <c r="AE38" s="3"/>
      <c r="AF38" s="3"/>
    </row>
    <row r="39" spans="1:32" s="22" customFormat="1" ht="15.75">
      <c r="A39" s="5"/>
      <c r="B39" s="69" t="s">
        <v>284</v>
      </c>
      <c r="C39" s="70" t="s">
        <v>283</v>
      </c>
      <c r="D39" s="72">
        <v>200000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83">
        <v>0</v>
      </c>
      <c r="R39" s="122">
        <v>36423.46</v>
      </c>
      <c r="S39" s="18">
        <f t="shared" si="10"/>
        <v>36423.46</v>
      </c>
      <c r="T39" s="19"/>
      <c r="U39" s="20"/>
      <c r="V39" s="21"/>
      <c r="W39" s="18"/>
      <c r="X39" s="19"/>
      <c r="Y39" s="3"/>
      <c r="Z39" s="3"/>
      <c r="AA39" s="3"/>
      <c r="AB39" s="3"/>
      <c r="AC39" s="3"/>
      <c r="AD39" s="3"/>
      <c r="AE39" s="3"/>
      <c r="AF39" s="3"/>
    </row>
    <row r="40" spans="1:32" s="22" customFormat="1" ht="15.75">
      <c r="A40" s="5"/>
      <c r="B40" s="69" t="s">
        <v>192</v>
      </c>
      <c r="C40" s="70" t="s">
        <v>39</v>
      </c>
      <c r="D40" s="72">
        <v>260000</v>
      </c>
      <c r="E40" s="17">
        <f t="shared" si="9"/>
        <v>21666.666666666668</v>
      </c>
      <c r="F40" s="17">
        <v>10569</v>
      </c>
      <c r="G40" s="17">
        <v>10545</v>
      </c>
      <c r="H40" s="17">
        <v>15634</v>
      </c>
      <c r="I40" s="17">
        <v>827</v>
      </c>
      <c r="J40" s="17">
        <v>22345</v>
      </c>
      <c r="K40" s="17">
        <v>10995</v>
      </c>
      <c r="L40" s="17">
        <v>3734</v>
      </c>
      <c r="M40" s="17">
        <v>22213</v>
      </c>
      <c r="N40" s="17">
        <v>12265</v>
      </c>
      <c r="O40" s="17">
        <v>18085</v>
      </c>
      <c r="P40" s="17">
        <v>11012</v>
      </c>
      <c r="Q40" s="83">
        <v>21827</v>
      </c>
      <c r="R40" s="122">
        <v>3666</v>
      </c>
      <c r="S40" s="18">
        <f t="shared" si="10"/>
        <v>25493</v>
      </c>
      <c r="T40" s="19">
        <f t="shared" si="1"/>
        <v>9.8049999999999998E-2</v>
      </c>
      <c r="U40" s="20">
        <f t="shared" si="14"/>
        <v>234507</v>
      </c>
      <c r="V40" s="21">
        <f t="shared" si="11"/>
        <v>0.90195000000000003</v>
      </c>
      <c r="W40" s="18">
        <f t="shared" si="12"/>
        <v>234507</v>
      </c>
      <c r="X40" s="19">
        <f t="shared" si="13"/>
        <v>0.90195000000000003</v>
      </c>
      <c r="Y40" s="3"/>
      <c r="Z40" s="3"/>
      <c r="AA40" s="3"/>
      <c r="AB40" s="3"/>
      <c r="AC40" s="3"/>
      <c r="AD40" s="3"/>
      <c r="AE40" s="3"/>
      <c r="AF40" s="3"/>
    </row>
    <row r="41" spans="1:32" s="22" customFormat="1" ht="15.75">
      <c r="A41" s="5"/>
      <c r="B41" s="69" t="s">
        <v>193</v>
      </c>
      <c r="C41" s="70" t="s">
        <v>40</v>
      </c>
      <c r="D41" s="72">
        <v>50000</v>
      </c>
      <c r="E41" s="17">
        <f t="shared" si="9"/>
        <v>4166.666666666667</v>
      </c>
      <c r="F41" s="17">
        <v>8572</v>
      </c>
      <c r="G41" s="17"/>
      <c r="H41" s="17">
        <v>8446</v>
      </c>
      <c r="I41" s="17">
        <v>3880</v>
      </c>
      <c r="J41" s="17">
        <v>4335</v>
      </c>
      <c r="K41" s="17">
        <v>3937</v>
      </c>
      <c r="L41" s="17"/>
      <c r="M41" s="17">
        <v>4656</v>
      </c>
      <c r="N41" s="17">
        <v>3880</v>
      </c>
      <c r="O41" s="17">
        <v>4335</v>
      </c>
      <c r="P41" s="17"/>
      <c r="Q41" s="83">
        <v>18350</v>
      </c>
      <c r="R41" s="122">
        <v>0</v>
      </c>
      <c r="S41" s="18">
        <f t="shared" si="10"/>
        <v>18350</v>
      </c>
      <c r="T41" s="19">
        <f t="shared" si="1"/>
        <v>0.36699999999999999</v>
      </c>
      <c r="U41" s="20">
        <f t="shared" si="14"/>
        <v>31650</v>
      </c>
      <c r="V41" s="21">
        <f t="shared" si="11"/>
        <v>0.63300000000000001</v>
      </c>
      <c r="W41" s="18">
        <f t="shared" si="12"/>
        <v>31650</v>
      </c>
      <c r="X41" s="19">
        <f t="shared" si="13"/>
        <v>0.63300000000000001</v>
      </c>
      <c r="Y41" s="3"/>
      <c r="Z41" s="3"/>
      <c r="AA41" s="3"/>
      <c r="AB41" s="3"/>
      <c r="AC41" s="3"/>
      <c r="AD41" s="3"/>
      <c r="AE41" s="3"/>
      <c r="AF41" s="3"/>
    </row>
    <row r="42" spans="1:32" s="22" customFormat="1">
      <c r="A42" s="5"/>
      <c r="B42" s="88" t="s">
        <v>41</v>
      </c>
      <c r="C42" s="24" t="s">
        <v>42</v>
      </c>
      <c r="D42" s="9">
        <f t="shared" ref="D42:P42" si="15">SUM(D43:D44)</f>
        <v>802370</v>
      </c>
      <c r="E42" s="9">
        <f t="shared" si="15"/>
        <v>66864.166666666657</v>
      </c>
      <c r="F42" s="10">
        <f t="shared" si="15"/>
        <v>737</v>
      </c>
      <c r="G42" s="10">
        <f t="shared" si="15"/>
        <v>2460</v>
      </c>
      <c r="H42" s="10">
        <f t="shared" si="15"/>
        <v>1165.5</v>
      </c>
      <c r="I42" s="10">
        <f t="shared" si="15"/>
        <v>2915.66</v>
      </c>
      <c r="J42" s="10">
        <f t="shared" si="15"/>
        <v>0</v>
      </c>
      <c r="K42" s="10">
        <f t="shared" si="15"/>
        <v>0</v>
      </c>
      <c r="L42" s="10">
        <f t="shared" si="15"/>
        <v>5490.54</v>
      </c>
      <c r="M42" s="10">
        <f t="shared" si="15"/>
        <v>118</v>
      </c>
      <c r="N42" s="10">
        <f t="shared" si="15"/>
        <v>2663.53</v>
      </c>
      <c r="O42" s="10">
        <f t="shared" si="15"/>
        <v>0</v>
      </c>
      <c r="P42" s="10">
        <f t="shared" si="15"/>
        <v>1752.47</v>
      </c>
      <c r="Q42" s="10">
        <f>+Q43+Q44</f>
        <v>426880.23</v>
      </c>
      <c r="R42" s="121">
        <f>+R43+R44</f>
        <v>229533.04</v>
      </c>
      <c r="S42" s="11">
        <f>+S43+S44</f>
        <v>656413.27</v>
      </c>
      <c r="T42" s="12">
        <f t="shared" si="1"/>
        <v>0.81809298702593569</v>
      </c>
      <c r="U42" s="13">
        <f t="shared" si="14"/>
        <v>145956.72999999998</v>
      </c>
      <c r="V42" s="14">
        <f t="shared" si="11"/>
        <v>0.18190701297406431</v>
      </c>
      <c r="W42" s="96">
        <f>SUM(W43:W44)</f>
        <v>145956.72999999998</v>
      </c>
      <c r="X42" s="97">
        <f>+W42/D42</f>
        <v>0.18190701297406431</v>
      </c>
      <c r="Y42" s="3"/>
      <c r="Z42" s="3"/>
      <c r="AA42" s="3"/>
      <c r="AB42" s="3"/>
      <c r="AC42" s="3"/>
      <c r="AD42" s="3"/>
      <c r="AE42" s="3"/>
      <c r="AF42" s="3"/>
    </row>
    <row r="43" spans="1:32" s="22" customFormat="1" ht="15.75">
      <c r="A43" s="5"/>
      <c r="B43" s="69" t="s">
        <v>194</v>
      </c>
      <c r="C43" s="70" t="s">
        <v>43</v>
      </c>
      <c r="D43" s="72">
        <v>652370</v>
      </c>
      <c r="E43" s="17">
        <f t="shared" si="9"/>
        <v>54364.166666666664</v>
      </c>
      <c r="F43" s="17">
        <v>737</v>
      </c>
      <c r="G43" s="17">
        <v>50</v>
      </c>
      <c r="H43" s="17"/>
      <c r="I43" s="17"/>
      <c r="J43" s="17"/>
      <c r="K43" s="17"/>
      <c r="L43" s="17"/>
      <c r="M43" s="17"/>
      <c r="N43" s="17"/>
      <c r="O43" s="17"/>
      <c r="P43" s="17"/>
      <c r="Q43" s="83">
        <v>423774.12</v>
      </c>
      <c r="R43" s="122">
        <v>228595.04</v>
      </c>
      <c r="S43" s="18">
        <f t="shared" si="10"/>
        <v>652369.16</v>
      </c>
      <c r="T43" s="19">
        <f t="shared" si="1"/>
        <v>0.99999871238714233</v>
      </c>
      <c r="U43" s="20">
        <f>+D43-S43</f>
        <v>0.83999999996740371</v>
      </c>
      <c r="V43" s="21">
        <f t="shared" si="11"/>
        <v>1.2876128576841421E-6</v>
      </c>
      <c r="W43" s="18">
        <f t="shared" ref="W43:W44" si="16">+D43-S43</f>
        <v>0.83999999996740371</v>
      </c>
      <c r="X43" s="19">
        <f t="shared" ref="X43:X44" si="17">+W43/D43</f>
        <v>1.2876128576841421E-6</v>
      </c>
      <c r="Y43" s="3"/>
      <c r="Z43" s="3"/>
      <c r="AA43" s="3"/>
      <c r="AB43" s="3"/>
      <c r="AC43" s="3"/>
      <c r="AD43" s="3"/>
      <c r="AE43" s="3"/>
      <c r="AF43" s="3"/>
    </row>
    <row r="44" spans="1:32" s="22" customFormat="1" ht="15.75">
      <c r="A44" s="5"/>
      <c r="B44" s="69" t="s">
        <v>195</v>
      </c>
      <c r="C44" s="70" t="s">
        <v>196</v>
      </c>
      <c r="D44" s="72">
        <v>150000</v>
      </c>
      <c r="E44" s="17">
        <f t="shared" si="9"/>
        <v>12500</v>
      </c>
      <c r="F44" s="17"/>
      <c r="G44" s="17">
        <v>2410</v>
      </c>
      <c r="H44" s="17">
        <v>1165.5</v>
      </c>
      <c r="I44" s="17">
        <v>2915.66</v>
      </c>
      <c r="J44" s="17"/>
      <c r="K44" s="17"/>
      <c r="L44" s="17">
        <v>5490.54</v>
      </c>
      <c r="M44" s="17">
        <v>118</v>
      </c>
      <c r="N44" s="17">
        <v>2663.53</v>
      </c>
      <c r="O44" s="17"/>
      <c r="P44" s="17">
        <v>1752.47</v>
      </c>
      <c r="Q44" s="83">
        <v>3106.11</v>
      </c>
      <c r="R44" s="122">
        <v>938</v>
      </c>
      <c r="S44" s="18">
        <f t="shared" si="10"/>
        <v>4044.11</v>
      </c>
      <c r="T44" s="19">
        <f t="shared" si="1"/>
        <v>2.6960733333333334E-2</v>
      </c>
      <c r="U44" s="20">
        <f>+D44-S44</f>
        <v>145955.89000000001</v>
      </c>
      <c r="V44" s="21">
        <f t="shared" si="11"/>
        <v>0.97303926666666674</v>
      </c>
      <c r="W44" s="18">
        <f t="shared" si="16"/>
        <v>145955.89000000001</v>
      </c>
      <c r="X44" s="19">
        <f t="shared" si="17"/>
        <v>0.97303926666666674</v>
      </c>
      <c r="Y44" s="3"/>
      <c r="Z44" s="3"/>
      <c r="AA44" s="3"/>
      <c r="AB44" s="3"/>
      <c r="AC44" s="3"/>
      <c r="AD44" s="3"/>
      <c r="AE44" s="3"/>
      <c r="AF44" s="3"/>
    </row>
    <row r="45" spans="1:32" s="22" customFormat="1">
      <c r="A45" s="5"/>
      <c r="B45" s="88" t="s">
        <v>44</v>
      </c>
      <c r="C45" s="24" t="s">
        <v>45</v>
      </c>
      <c r="D45" s="9">
        <f t="shared" ref="D45:P45" si="18">SUM(D46:D47)</f>
        <v>3400000</v>
      </c>
      <c r="E45" s="9">
        <f>SUM(E46:E47)</f>
        <v>283333.33333333331</v>
      </c>
      <c r="F45" s="10">
        <f t="shared" si="18"/>
        <v>177471.03</v>
      </c>
      <c r="G45" s="10">
        <f t="shared" si="18"/>
        <v>305156.64</v>
      </c>
      <c r="H45" s="10">
        <f t="shared" si="18"/>
        <v>262545</v>
      </c>
      <c r="I45" s="10">
        <f t="shared" si="18"/>
        <v>829507.03</v>
      </c>
      <c r="J45" s="10">
        <f t="shared" si="18"/>
        <v>831989.64</v>
      </c>
      <c r="K45" s="10">
        <f t="shared" si="18"/>
        <v>440219.75</v>
      </c>
      <c r="L45" s="10">
        <f t="shared" si="18"/>
        <v>878813.81</v>
      </c>
      <c r="M45" s="10">
        <f t="shared" si="18"/>
        <v>543819.54</v>
      </c>
      <c r="N45" s="10">
        <f t="shared" si="18"/>
        <v>399895.55</v>
      </c>
      <c r="O45" s="10">
        <f t="shared" si="18"/>
        <v>582206.17999999993</v>
      </c>
      <c r="P45" s="10">
        <f t="shared" si="18"/>
        <v>151977</v>
      </c>
      <c r="Q45" s="10">
        <f>+Q46+Q47</f>
        <v>443509.8</v>
      </c>
      <c r="R45" s="121">
        <f>+R46+R47</f>
        <v>228943.52</v>
      </c>
      <c r="S45" s="11">
        <f>+S46+S47</f>
        <v>672453.32</v>
      </c>
      <c r="T45" s="12">
        <f t="shared" si="1"/>
        <v>0.19778038823529409</v>
      </c>
      <c r="U45" s="13">
        <f t="shared" si="14"/>
        <v>2727546.68</v>
      </c>
      <c r="V45" s="14">
        <f t="shared" si="11"/>
        <v>0.80221961176470591</v>
      </c>
      <c r="W45" s="96">
        <f>+W46+W47</f>
        <v>2727546.68</v>
      </c>
      <c r="X45" s="97">
        <f>+W45/D45</f>
        <v>0.80221961176470591</v>
      </c>
      <c r="Y45" s="3"/>
      <c r="Z45" s="3"/>
      <c r="AA45" s="3"/>
      <c r="AB45" s="3"/>
      <c r="AC45" s="3"/>
      <c r="AD45" s="3"/>
      <c r="AE45" s="3"/>
      <c r="AF45" s="3"/>
    </row>
    <row r="46" spans="1:32" s="22" customFormat="1" ht="15.75">
      <c r="A46" s="5"/>
      <c r="B46" s="69" t="s">
        <v>197</v>
      </c>
      <c r="C46" s="70" t="s">
        <v>46</v>
      </c>
      <c r="D46" s="72">
        <f>3000000-450000</f>
        <v>2550000</v>
      </c>
      <c r="E46" s="17">
        <f t="shared" si="9"/>
        <v>212500</v>
      </c>
      <c r="F46" s="17">
        <v>159720</v>
      </c>
      <c r="G46" s="17">
        <v>272010</v>
      </c>
      <c r="H46" s="17">
        <v>170444</v>
      </c>
      <c r="I46" s="17">
        <v>273583</v>
      </c>
      <c r="J46" s="17">
        <v>291740</v>
      </c>
      <c r="K46" s="17">
        <v>226313.37</v>
      </c>
      <c r="L46" s="17">
        <v>497164</v>
      </c>
      <c r="M46" s="17">
        <v>245500</v>
      </c>
      <c r="N46" s="17">
        <v>149560</v>
      </c>
      <c r="O46" s="17">
        <v>174170</v>
      </c>
      <c r="P46" s="17">
        <v>136250</v>
      </c>
      <c r="Q46" s="83">
        <v>242400</v>
      </c>
      <c r="R46" s="122">
        <v>184500</v>
      </c>
      <c r="S46" s="18">
        <f t="shared" si="10"/>
        <v>426900</v>
      </c>
      <c r="T46" s="19">
        <f t="shared" si="1"/>
        <v>0.16741176470588234</v>
      </c>
      <c r="U46" s="20">
        <f>+D46-S46</f>
        <v>2123100</v>
      </c>
      <c r="V46" s="21">
        <f t="shared" si="11"/>
        <v>0.83258823529411763</v>
      </c>
      <c r="W46" s="18">
        <f t="shared" ref="W46:W47" si="19">+D46-S46</f>
        <v>2123100</v>
      </c>
      <c r="X46" s="19">
        <f t="shared" ref="X46:X47" si="20">+W46/D46</f>
        <v>0.83258823529411763</v>
      </c>
      <c r="Y46" s="3"/>
      <c r="Z46" s="3"/>
      <c r="AA46" s="3"/>
      <c r="AB46" s="3"/>
      <c r="AC46" s="3"/>
      <c r="AD46" s="3"/>
      <c r="AE46" s="3"/>
      <c r="AF46" s="3"/>
    </row>
    <row r="47" spans="1:32" s="22" customFormat="1" ht="15.75">
      <c r="A47" s="5"/>
      <c r="B47" s="69" t="s">
        <v>198</v>
      </c>
      <c r="C47" s="70" t="s">
        <v>47</v>
      </c>
      <c r="D47" s="72">
        <v>850000</v>
      </c>
      <c r="E47" s="17">
        <f t="shared" si="9"/>
        <v>70833.333333333328</v>
      </c>
      <c r="F47" s="17">
        <v>17751.03</v>
      </c>
      <c r="G47" s="17">
        <v>33146.639999999999</v>
      </c>
      <c r="H47" s="17">
        <v>92101</v>
      </c>
      <c r="I47" s="17">
        <v>555924.03</v>
      </c>
      <c r="J47" s="17">
        <v>540249.64</v>
      </c>
      <c r="K47" s="17">
        <v>213906.38</v>
      </c>
      <c r="L47" s="17">
        <v>381649.81</v>
      </c>
      <c r="M47" s="17">
        <v>298319.53999999998</v>
      </c>
      <c r="N47" s="17">
        <v>250335.55</v>
      </c>
      <c r="O47" s="17">
        <v>408036.18</v>
      </c>
      <c r="P47" s="17">
        <v>15727</v>
      </c>
      <c r="Q47" s="83">
        <v>201109.8</v>
      </c>
      <c r="R47" s="122">
        <v>44443.519999999997</v>
      </c>
      <c r="S47" s="18">
        <f t="shared" si="10"/>
        <v>245553.31999999998</v>
      </c>
      <c r="T47" s="19">
        <f t="shared" si="1"/>
        <v>0.28888625882352936</v>
      </c>
      <c r="U47" s="20">
        <f>+D47-S47</f>
        <v>604446.68000000005</v>
      </c>
      <c r="V47" s="21">
        <f t="shared" si="11"/>
        <v>0.71111374117647064</v>
      </c>
      <c r="W47" s="18">
        <f t="shared" si="19"/>
        <v>604446.68000000005</v>
      </c>
      <c r="X47" s="19">
        <f t="shared" si="20"/>
        <v>0.71111374117647064</v>
      </c>
      <c r="Y47" s="3"/>
      <c r="Z47" s="3"/>
      <c r="AA47" s="3"/>
      <c r="AB47" s="3"/>
      <c r="AC47" s="3"/>
      <c r="AD47" s="3"/>
      <c r="AE47" s="3"/>
      <c r="AF47" s="3"/>
    </row>
    <row r="48" spans="1:32" s="22" customFormat="1">
      <c r="A48" s="5"/>
      <c r="B48" s="88" t="s">
        <v>48</v>
      </c>
      <c r="C48" s="24" t="s">
        <v>49</v>
      </c>
      <c r="D48" s="9">
        <f>+D49+D50+D52</f>
        <v>720000</v>
      </c>
      <c r="E48" s="9">
        <f t="shared" ref="E48:M48" si="21">SUM(E49:E50)</f>
        <v>39166.666666666664</v>
      </c>
      <c r="F48" s="10">
        <f t="shared" si="21"/>
        <v>120</v>
      </c>
      <c r="G48" s="10">
        <f t="shared" si="21"/>
        <v>60420.1</v>
      </c>
      <c r="H48" s="10">
        <f t="shared" si="21"/>
        <v>34748</v>
      </c>
      <c r="I48" s="10">
        <f t="shared" si="21"/>
        <v>205970</v>
      </c>
      <c r="J48" s="10">
        <f t="shared" si="21"/>
        <v>34420</v>
      </c>
      <c r="K48" s="10">
        <f t="shared" si="21"/>
        <v>343177.75</v>
      </c>
      <c r="L48" s="10">
        <f t="shared" si="21"/>
        <v>286143.7</v>
      </c>
      <c r="M48" s="10">
        <f t="shared" si="21"/>
        <v>2660</v>
      </c>
      <c r="N48" s="10">
        <f>SUM(N49:N51)</f>
        <v>79290.45</v>
      </c>
      <c r="O48" s="10">
        <f>SUM(O49:O50)</f>
        <v>74793.820000000007</v>
      </c>
      <c r="P48" s="10">
        <f>SUM(P49:P50)</f>
        <v>37120</v>
      </c>
      <c r="Q48" s="10">
        <f>+Q49+Q50+Q52</f>
        <v>40000</v>
      </c>
      <c r="R48" s="121">
        <f>+R49+R50+R52</f>
        <v>76380</v>
      </c>
      <c r="S48" s="11">
        <f>+S49+S50</f>
        <v>78000</v>
      </c>
      <c r="T48" s="12">
        <f>+S48/D48</f>
        <v>0.10833333333333334</v>
      </c>
      <c r="U48" s="13">
        <f t="shared" si="14"/>
        <v>642000</v>
      </c>
      <c r="V48" s="14">
        <f t="shared" si="11"/>
        <v>0.89166666666666672</v>
      </c>
      <c r="W48" s="96">
        <f>+W49+W50</f>
        <v>392000</v>
      </c>
      <c r="X48" s="97">
        <f>+W48/D48</f>
        <v>0.5444444444444444</v>
      </c>
      <c r="Y48" s="3"/>
      <c r="Z48" s="3"/>
      <c r="AA48" s="3"/>
      <c r="AB48" s="3"/>
      <c r="AC48" s="3"/>
      <c r="AD48" s="3"/>
      <c r="AE48" s="3"/>
      <c r="AF48" s="3"/>
    </row>
    <row r="49" spans="1:32" s="22" customFormat="1" ht="15.75">
      <c r="A49" s="5"/>
      <c r="B49" s="69" t="s">
        <v>199</v>
      </c>
      <c r="C49" s="70" t="s">
        <v>50</v>
      </c>
      <c r="D49" s="72">
        <v>300000</v>
      </c>
      <c r="E49" s="17">
        <f t="shared" si="9"/>
        <v>25000</v>
      </c>
      <c r="F49" s="17"/>
      <c r="G49" s="17">
        <v>60420.1</v>
      </c>
      <c r="H49" s="17">
        <v>34050</v>
      </c>
      <c r="I49" s="17">
        <v>205790</v>
      </c>
      <c r="J49" s="17">
        <v>34000</v>
      </c>
      <c r="K49" s="17">
        <v>343177.75</v>
      </c>
      <c r="L49" s="17">
        <v>285903.7</v>
      </c>
      <c r="M49" s="17">
        <v>2660</v>
      </c>
      <c r="N49" s="17">
        <v>77130.45</v>
      </c>
      <c r="O49" s="17">
        <v>74793.820000000007</v>
      </c>
      <c r="P49" s="17">
        <v>36000</v>
      </c>
      <c r="Q49" s="83">
        <v>40000</v>
      </c>
      <c r="R49" s="122">
        <v>38000</v>
      </c>
      <c r="S49" s="18">
        <f t="shared" si="10"/>
        <v>78000</v>
      </c>
      <c r="T49" s="19">
        <f t="shared" si="1"/>
        <v>0.26</v>
      </c>
      <c r="U49" s="20">
        <f>+D49-S49</f>
        <v>222000</v>
      </c>
      <c r="V49" s="21">
        <f t="shared" si="11"/>
        <v>0.74</v>
      </c>
      <c r="W49" s="18">
        <f t="shared" ref="W49:W50" si="22">+D49-S49</f>
        <v>222000</v>
      </c>
      <c r="X49" s="19">
        <f t="shared" ref="X49:X50" si="23">+W49/D49</f>
        <v>0.74</v>
      </c>
      <c r="Y49" s="3"/>
      <c r="Z49" s="3"/>
      <c r="AA49" s="3"/>
      <c r="AB49" s="3"/>
      <c r="AC49" s="3"/>
      <c r="AD49" s="3"/>
      <c r="AE49" s="3"/>
      <c r="AF49" s="3"/>
    </row>
    <row r="50" spans="1:32" s="22" customFormat="1" ht="15.75">
      <c r="A50" s="5"/>
      <c r="B50" s="69" t="s">
        <v>200</v>
      </c>
      <c r="C50" s="70" t="s">
        <v>51</v>
      </c>
      <c r="D50" s="72">
        <v>170000</v>
      </c>
      <c r="E50" s="17">
        <f t="shared" si="9"/>
        <v>14166.666666666666</v>
      </c>
      <c r="F50" s="17">
        <v>120</v>
      </c>
      <c r="G50" s="17"/>
      <c r="H50" s="17">
        <v>698</v>
      </c>
      <c r="I50" s="17">
        <v>180</v>
      </c>
      <c r="J50" s="17">
        <v>420</v>
      </c>
      <c r="K50" s="17"/>
      <c r="L50" s="17">
        <v>240</v>
      </c>
      <c r="M50" s="17"/>
      <c r="N50" s="17">
        <f>1100+1060</f>
        <v>2160</v>
      </c>
      <c r="O50" s="17"/>
      <c r="P50" s="17">
        <v>1120</v>
      </c>
      <c r="Q50" s="17">
        <v>0</v>
      </c>
      <c r="R50" s="126">
        <v>0</v>
      </c>
      <c r="S50" s="18">
        <f t="shared" si="10"/>
        <v>0</v>
      </c>
      <c r="T50" s="19">
        <f t="shared" si="1"/>
        <v>0</v>
      </c>
      <c r="U50" s="20">
        <f>+D50-S50</f>
        <v>170000</v>
      </c>
      <c r="V50" s="21">
        <f t="shared" si="11"/>
        <v>1</v>
      </c>
      <c r="W50" s="18">
        <f t="shared" si="22"/>
        <v>170000</v>
      </c>
      <c r="X50" s="19">
        <f t="shared" si="23"/>
        <v>1</v>
      </c>
      <c r="Y50" s="3"/>
      <c r="Z50" s="3"/>
      <c r="AA50" s="3"/>
      <c r="AB50" s="3"/>
      <c r="AC50" s="3"/>
      <c r="AD50" s="3"/>
      <c r="AE50" s="3"/>
      <c r="AF50" s="3"/>
    </row>
    <row r="51" spans="1:32" s="22" customFormat="1" hidden="1">
      <c r="A51" s="5"/>
      <c r="B51" s="89" t="s">
        <v>52</v>
      </c>
      <c r="C51" s="15" t="s">
        <v>53</v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26"/>
      <c r="S51" s="18">
        <f t="shared" si="10"/>
        <v>0</v>
      </c>
      <c r="T51" s="26"/>
      <c r="U51" s="16"/>
      <c r="V51" s="16"/>
      <c r="W51" s="26"/>
      <c r="X51" s="26"/>
      <c r="Y51" s="3"/>
      <c r="Z51" s="3"/>
      <c r="AA51" s="3"/>
      <c r="AB51" s="3"/>
      <c r="AC51" s="3"/>
      <c r="AD51" s="3"/>
      <c r="AE51" s="3"/>
      <c r="AF51" s="3"/>
    </row>
    <row r="52" spans="1:32" s="22" customFormat="1">
      <c r="A52" s="5"/>
      <c r="B52" s="111" t="s">
        <v>285</v>
      </c>
      <c r="C52" s="15" t="s">
        <v>53</v>
      </c>
      <c r="D52" s="16">
        <v>250000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>
        <v>0</v>
      </c>
      <c r="R52" s="126">
        <v>38380</v>
      </c>
      <c r="S52" s="18">
        <f t="shared" si="10"/>
        <v>38380</v>
      </c>
      <c r="T52" s="26"/>
      <c r="U52" s="16"/>
      <c r="V52" s="16"/>
      <c r="W52" s="26"/>
      <c r="X52" s="26"/>
      <c r="Y52" s="3"/>
      <c r="Z52" s="3"/>
      <c r="AA52" s="3"/>
      <c r="AB52" s="3"/>
      <c r="AC52" s="3"/>
      <c r="AD52" s="3"/>
      <c r="AE52" s="3"/>
      <c r="AF52" s="3"/>
    </row>
    <row r="53" spans="1:32" s="22" customFormat="1">
      <c r="A53" s="5"/>
      <c r="B53" s="88" t="s">
        <v>54</v>
      </c>
      <c r="C53" s="24" t="s">
        <v>55</v>
      </c>
      <c r="D53" s="9">
        <f t="shared" ref="D53:P53" si="24">SUM(D54:D55)</f>
        <v>6600000</v>
      </c>
      <c r="E53" s="9">
        <f>SUM(E54:E55)</f>
        <v>550000</v>
      </c>
      <c r="F53" s="10">
        <f t="shared" si="24"/>
        <v>822253.15999999992</v>
      </c>
      <c r="G53" s="10">
        <f t="shared" si="24"/>
        <v>518913.51</v>
      </c>
      <c r="H53" s="10">
        <f t="shared" si="24"/>
        <v>447215.6</v>
      </c>
      <c r="I53" s="10">
        <f t="shared" si="24"/>
        <v>446539.1</v>
      </c>
      <c r="J53" s="10">
        <f t="shared" si="24"/>
        <v>397975.46</v>
      </c>
      <c r="K53" s="10">
        <f t="shared" si="24"/>
        <v>254045.33</v>
      </c>
      <c r="L53" s="10">
        <f t="shared" si="24"/>
        <v>936564.49</v>
      </c>
      <c r="M53" s="10">
        <f t="shared" si="24"/>
        <v>447583.22</v>
      </c>
      <c r="N53" s="10">
        <f>SUM(N54:N55)</f>
        <v>469305.16</v>
      </c>
      <c r="O53" s="10">
        <f>SUM(O54:O55)</f>
        <v>921609.95</v>
      </c>
      <c r="P53" s="10">
        <f t="shared" si="24"/>
        <v>614178.42000000004</v>
      </c>
      <c r="Q53" s="10">
        <f>+Q54+Q55</f>
        <v>536582.06000000006</v>
      </c>
      <c r="R53" s="121">
        <f>+R54+R55</f>
        <v>473805.16</v>
      </c>
      <c r="S53" s="11">
        <f>+S54+S55</f>
        <v>1010387.22</v>
      </c>
      <c r="T53" s="12">
        <f t="shared" ref="T53:T78" si="25">+S53/D53</f>
        <v>0.15308897272727273</v>
      </c>
      <c r="U53" s="13">
        <f t="shared" ref="U53:U67" si="26">+D53-S53</f>
        <v>5589612.7800000003</v>
      </c>
      <c r="V53" s="14">
        <f t="shared" ref="V53:V67" si="27">+U53/D53</f>
        <v>0.84691102727272727</v>
      </c>
      <c r="W53" s="96">
        <f>+W54+W55</f>
        <v>5589612.7800000003</v>
      </c>
      <c r="X53" s="97">
        <f>+W53/D53</f>
        <v>0.84691102727272727</v>
      </c>
      <c r="Y53" s="3"/>
      <c r="Z53" s="3"/>
      <c r="AA53" s="3"/>
      <c r="AB53" s="3"/>
      <c r="AC53" s="3"/>
      <c r="AD53" s="3"/>
      <c r="AE53" s="3"/>
      <c r="AF53" s="3"/>
    </row>
    <row r="54" spans="1:32" s="22" customFormat="1" ht="15.75">
      <c r="A54" s="5"/>
      <c r="B54" s="69" t="s">
        <v>201</v>
      </c>
      <c r="C54" s="70" t="s">
        <v>56</v>
      </c>
      <c r="D54" s="72">
        <v>6000000</v>
      </c>
      <c r="E54" s="17">
        <f t="shared" ref="E54:E55" si="28">+D54/12</f>
        <v>500000</v>
      </c>
      <c r="F54" s="17">
        <v>320375.56</v>
      </c>
      <c r="G54" s="17">
        <v>512659.51</v>
      </c>
      <c r="H54" s="17">
        <v>396770.6</v>
      </c>
      <c r="I54" s="17">
        <v>400961.6</v>
      </c>
      <c r="J54" s="17">
        <v>377089.46</v>
      </c>
      <c r="K54" s="17">
        <v>254045.33</v>
      </c>
      <c r="L54" s="17">
        <v>865533.49</v>
      </c>
      <c r="M54" s="17">
        <v>347041.42</v>
      </c>
      <c r="N54" s="17">
        <v>469305.16</v>
      </c>
      <c r="O54" s="17">
        <v>756409.95</v>
      </c>
      <c r="P54" s="17">
        <v>614178.42000000004</v>
      </c>
      <c r="Q54" s="83">
        <v>536582.06000000006</v>
      </c>
      <c r="R54" s="122">
        <v>473805.16</v>
      </c>
      <c r="S54" s="18">
        <f t="shared" si="10"/>
        <v>1010387.22</v>
      </c>
      <c r="T54" s="19">
        <f t="shared" si="25"/>
        <v>0.16839787000000001</v>
      </c>
      <c r="U54" s="20">
        <f t="shared" si="26"/>
        <v>4989612.78</v>
      </c>
      <c r="V54" s="21">
        <f t="shared" si="27"/>
        <v>0.83160213000000005</v>
      </c>
      <c r="W54" s="18">
        <f t="shared" ref="W54:W55" si="29">+D54-S54</f>
        <v>4989612.78</v>
      </c>
      <c r="X54" s="19">
        <f t="shared" ref="X54:X55" si="30">+W54/D54</f>
        <v>0.83160213000000005</v>
      </c>
      <c r="Y54" s="3"/>
      <c r="Z54" s="3"/>
      <c r="AA54" s="3"/>
      <c r="AB54" s="3"/>
      <c r="AC54" s="3"/>
      <c r="AD54" s="3"/>
      <c r="AE54" s="3"/>
      <c r="AF54" s="3"/>
    </row>
    <row r="55" spans="1:32" s="22" customFormat="1" ht="15.75">
      <c r="A55" s="5"/>
      <c r="B55" s="69" t="s">
        <v>202</v>
      </c>
      <c r="C55" s="70" t="s">
        <v>57</v>
      </c>
      <c r="D55" s="72">
        <v>600000</v>
      </c>
      <c r="E55" s="17">
        <f t="shared" si="28"/>
        <v>50000</v>
      </c>
      <c r="F55" s="17">
        <v>501877.6</v>
      </c>
      <c r="G55" s="17">
        <v>6254</v>
      </c>
      <c r="H55" s="17">
        <v>50445</v>
      </c>
      <c r="I55" s="17">
        <v>45577.5</v>
      </c>
      <c r="J55" s="17">
        <v>20886</v>
      </c>
      <c r="K55" s="17"/>
      <c r="L55" s="17">
        <v>71031</v>
      </c>
      <c r="M55" s="17">
        <v>100541.8</v>
      </c>
      <c r="N55" s="17"/>
      <c r="O55" s="17">
        <v>165200</v>
      </c>
      <c r="P55" s="17"/>
      <c r="Q55" s="17">
        <v>0</v>
      </c>
      <c r="R55" s="126">
        <v>0</v>
      </c>
      <c r="S55" s="18">
        <f t="shared" si="10"/>
        <v>0</v>
      </c>
      <c r="T55" s="19">
        <f t="shared" si="25"/>
        <v>0</v>
      </c>
      <c r="U55" s="20">
        <f t="shared" si="26"/>
        <v>600000</v>
      </c>
      <c r="V55" s="21">
        <f t="shared" si="27"/>
        <v>1</v>
      </c>
      <c r="W55" s="18">
        <f t="shared" si="29"/>
        <v>600000</v>
      </c>
      <c r="X55" s="19">
        <f t="shared" si="30"/>
        <v>1</v>
      </c>
      <c r="Y55" s="3"/>
      <c r="Z55" s="3"/>
      <c r="AA55" s="3"/>
      <c r="AB55" s="3"/>
      <c r="AC55" s="3"/>
      <c r="AD55" s="3"/>
      <c r="AE55" s="3"/>
      <c r="AF55" s="3"/>
    </row>
    <row r="56" spans="1:32" s="22" customFormat="1">
      <c r="A56" s="5"/>
      <c r="B56" s="88" t="s">
        <v>58</v>
      </c>
      <c r="C56" s="24" t="s">
        <v>59</v>
      </c>
      <c r="D56" s="9">
        <f t="shared" ref="D56:P56" si="31">SUM(D57)</f>
        <v>7000000</v>
      </c>
      <c r="E56" s="9">
        <f t="shared" si="31"/>
        <v>0</v>
      </c>
      <c r="F56" s="10">
        <f t="shared" si="31"/>
        <v>9295.49</v>
      </c>
      <c r="G56" s="10">
        <f t="shared" si="31"/>
        <v>1537079.27</v>
      </c>
      <c r="H56" s="10">
        <f t="shared" si="31"/>
        <v>1537095.96</v>
      </c>
      <c r="I56" s="10">
        <f t="shared" si="31"/>
        <v>1537095.96</v>
      </c>
      <c r="J56" s="10">
        <f t="shared" si="31"/>
        <v>1537095.92</v>
      </c>
      <c r="K56" s="10">
        <f t="shared" si="31"/>
        <v>387690.38</v>
      </c>
      <c r="L56" s="10">
        <f t="shared" si="31"/>
        <v>0</v>
      </c>
      <c r="M56" s="10">
        <f t="shared" si="31"/>
        <v>166559.47</v>
      </c>
      <c r="N56" s="10">
        <f>SUM(N57)</f>
        <v>0</v>
      </c>
      <c r="O56" s="10">
        <f t="shared" si="31"/>
        <v>94083.44</v>
      </c>
      <c r="P56" s="10">
        <f t="shared" si="31"/>
        <v>21116.3</v>
      </c>
      <c r="Q56" s="10">
        <f>+Q57</f>
        <v>20646.2</v>
      </c>
      <c r="R56" s="121">
        <f>+R57</f>
        <v>34926.83</v>
      </c>
      <c r="S56" s="11">
        <f>+S57</f>
        <v>55573.03</v>
      </c>
      <c r="T56" s="12">
        <f t="shared" si="25"/>
        <v>7.9390042857142851E-3</v>
      </c>
      <c r="U56" s="13">
        <f t="shared" si="26"/>
        <v>6944426.9699999997</v>
      </c>
      <c r="V56" s="14">
        <f t="shared" si="27"/>
        <v>0.99206099571428563</v>
      </c>
      <c r="W56" s="96">
        <f>+W57</f>
        <v>6944426.9699999997</v>
      </c>
      <c r="X56" s="97">
        <f>+W56/D56</f>
        <v>0.99206099571428563</v>
      </c>
      <c r="Y56" s="3"/>
      <c r="Z56" s="3"/>
      <c r="AA56" s="3"/>
      <c r="AB56" s="3"/>
      <c r="AC56" s="3"/>
      <c r="AD56" s="3"/>
      <c r="AE56" s="3"/>
      <c r="AF56" s="3"/>
    </row>
    <row r="57" spans="1:32" s="22" customFormat="1" ht="15.75">
      <c r="A57" s="5"/>
      <c r="B57" s="69" t="s">
        <v>203</v>
      </c>
      <c r="C57" s="70" t="s">
        <v>60</v>
      </c>
      <c r="D57" s="72">
        <v>7000000</v>
      </c>
      <c r="E57" s="27">
        <v>0</v>
      </c>
      <c r="F57" s="27">
        <v>9295.49</v>
      </c>
      <c r="G57" s="27">
        <v>1537079.27</v>
      </c>
      <c r="H57" s="17">
        <v>1537095.96</v>
      </c>
      <c r="I57" s="27">
        <v>1537095.96</v>
      </c>
      <c r="J57" s="27">
        <v>1537095.92</v>
      </c>
      <c r="K57" s="27">
        <v>387690.38</v>
      </c>
      <c r="L57" s="27"/>
      <c r="M57" s="27">
        <v>166559.47</v>
      </c>
      <c r="N57" s="27"/>
      <c r="O57" s="27">
        <v>94083.44</v>
      </c>
      <c r="P57" s="27">
        <v>21116.3</v>
      </c>
      <c r="Q57" s="85">
        <v>20646.2</v>
      </c>
      <c r="R57" s="122">
        <v>34926.83</v>
      </c>
      <c r="S57" s="18">
        <f t="shared" si="10"/>
        <v>55573.03</v>
      </c>
      <c r="T57" s="19">
        <f t="shared" si="25"/>
        <v>7.9390042857142851E-3</v>
      </c>
      <c r="U57" s="20">
        <f t="shared" si="26"/>
        <v>6944426.9699999997</v>
      </c>
      <c r="V57" s="21">
        <f t="shared" si="27"/>
        <v>0.99206099571428563</v>
      </c>
      <c r="W57" s="18">
        <f t="shared" ref="W57" si="32">+D57-S57</f>
        <v>6944426.9699999997</v>
      </c>
      <c r="X57" s="19">
        <f t="shared" ref="X57" si="33">+W57/D57</f>
        <v>0.99206099571428563</v>
      </c>
      <c r="Y57" s="3"/>
      <c r="Z57" s="3"/>
      <c r="AA57" s="3"/>
      <c r="AB57" s="3"/>
      <c r="AC57" s="3"/>
      <c r="AD57" s="3"/>
      <c r="AE57" s="3"/>
      <c r="AF57" s="3"/>
    </row>
    <row r="58" spans="1:32" s="22" customFormat="1">
      <c r="A58" s="5"/>
      <c r="B58" s="88" t="s">
        <v>61</v>
      </c>
      <c r="C58" s="24" t="s">
        <v>62</v>
      </c>
      <c r="D58" s="9">
        <f t="shared" ref="D58:P58" si="34">SUM(D59:D66)</f>
        <v>6520402.7300000004</v>
      </c>
      <c r="E58" s="9">
        <f>SUM(E59:E66)</f>
        <v>543366.89416666667</v>
      </c>
      <c r="F58" s="10">
        <f t="shared" si="34"/>
        <v>64600</v>
      </c>
      <c r="G58" s="10">
        <f t="shared" si="34"/>
        <v>1100293.1000000001</v>
      </c>
      <c r="H58" s="10">
        <f t="shared" si="34"/>
        <v>524632.46</v>
      </c>
      <c r="I58" s="10">
        <f t="shared" si="34"/>
        <v>697511.86</v>
      </c>
      <c r="J58" s="10">
        <f t="shared" si="34"/>
        <v>1688087.97</v>
      </c>
      <c r="K58" s="10">
        <f t="shared" si="34"/>
        <v>765563.58</v>
      </c>
      <c r="L58" s="10">
        <f t="shared" si="34"/>
        <v>863764</v>
      </c>
      <c r="M58" s="10">
        <f t="shared" si="34"/>
        <v>1018473.34</v>
      </c>
      <c r="N58" s="10">
        <f t="shared" si="34"/>
        <v>1537207.34</v>
      </c>
      <c r="O58" s="10">
        <f t="shared" si="34"/>
        <v>539592.66</v>
      </c>
      <c r="P58" s="10">
        <f t="shared" si="34"/>
        <v>817951.32</v>
      </c>
      <c r="Q58" s="10">
        <f>+Q59+Q61+Q62+Q63+Q64+Q65+Q66</f>
        <v>20128.489999999998</v>
      </c>
      <c r="R58" s="121">
        <f>+R59+R61+R62+R63+R64+R65+R66</f>
        <v>117024.3</v>
      </c>
      <c r="S58" s="11">
        <f>SUM(S59:S66)</f>
        <v>137152.79</v>
      </c>
      <c r="T58" s="12">
        <f t="shared" si="25"/>
        <v>2.1034404726101942E-2</v>
      </c>
      <c r="U58" s="13">
        <f t="shared" si="26"/>
        <v>6383249.9400000004</v>
      </c>
      <c r="V58" s="14">
        <f t="shared" si="27"/>
        <v>0.97896559527389804</v>
      </c>
      <c r="W58" s="96">
        <f>+W59+W61+W66</f>
        <v>4926445.2799999993</v>
      </c>
      <c r="X58" s="97">
        <f>+W58/D58</f>
        <v>0.75554309817915177</v>
      </c>
      <c r="Y58" s="3"/>
      <c r="Z58" s="3"/>
      <c r="AA58" s="3"/>
      <c r="AB58" s="3"/>
      <c r="AC58" s="3"/>
      <c r="AD58" s="3"/>
      <c r="AE58" s="3"/>
      <c r="AF58" s="3"/>
    </row>
    <row r="59" spans="1:32" s="30" customFormat="1" ht="15.75">
      <c r="A59" s="5"/>
      <c r="B59" s="73" t="s">
        <v>204</v>
      </c>
      <c r="C59" s="74" t="s">
        <v>63</v>
      </c>
      <c r="D59" s="72">
        <v>2445402.73</v>
      </c>
      <c r="E59" s="17">
        <f t="shared" ref="E59:E66" si="35">+D59/12</f>
        <v>203783.56083333332</v>
      </c>
      <c r="F59" s="17"/>
      <c r="G59" s="17">
        <v>1090128.1000000001</v>
      </c>
      <c r="H59" s="17">
        <v>523957.46</v>
      </c>
      <c r="I59" s="17">
        <v>697511.86</v>
      </c>
      <c r="J59" s="17">
        <v>1669562.67</v>
      </c>
      <c r="K59" s="17">
        <v>611199.57999999996</v>
      </c>
      <c r="L59" s="17">
        <v>861264</v>
      </c>
      <c r="M59" s="17">
        <v>1016303.32</v>
      </c>
      <c r="N59" s="17">
        <v>1532003.54</v>
      </c>
      <c r="O59" s="17">
        <v>539592.66</v>
      </c>
      <c r="P59" s="17">
        <v>817951.32</v>
      </c>
      <c r="Q59" s="17">
        <v>0</v>
      </c>
      <c r="R59" s="126">
        <v>0</v>
      </c>
      <c r="S59" s="18">
        <f t="shared" si="10"/>
        <v>0</v>
      </c>
      <c r="T59" s="19">
        <f t="shared" si="25"/>
        <v>0</v>
      </c>
      <c r="U59" s="20">
        <f t="shared" si="26"/>
        <v>2445402.73</v>
      </c>
      <c r="V59" s="21">
        <f t="shared" si="27"/>
        <v>1</v>
      </c>
      <c r="W59" s="18">
        <f t="shared" ref="W59:W66" si="36">+D59-S59</f>
        <v>2445402.73</v>
      </c>
      <c r="X59" s="19">
        <f t="shared" ref="X59:X66" si="37">+W59/D59</f>
        <v>1</v>
      </c>
      <c r="Y59" s="29"/>
      <c r="Z59" s="29"/>
      <c r="AA59" s="29"/>
      <c r="AB59" s="29"/>
      <c r="AC59" s="29"/>
      <c r="AD59" s="29"/>
      <c r="AE59" s="29"/>
      <c r="AF59" s="29"/>
    </row>
    <row r="60" spans="1:32" s="22" customFormat="1" ht="31.5" hidden="1">
      <c r="A60" s="5"/>
      <c r="B60" s="73" t="s">
        <v>205</v>
      </c>
      <c r="C60" s="75" t="s">
        <v>64</v>
      </c>
      <c r="D60" s="72">
        <v>100000</v>
      </c>
      <c r="E60" s="17">
        <f t="shared" si="35"/>
        <v>8333.3333333333339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27"/>
      <c r="S60" s="18">
        <f t="shared" si="10"/>
        <v>0</v>
      </c>
      <c r="T60" s="19">
        <f t="shared" si="25"/>
        <v>0</v>
      </c>
      <c r="U60" s="20">
        <f t="shared" si="26"/>
        <v>100000</v>
      </c>
      <c r="V60" s="21">
        <f t="shared" si="27"/>
        <v>1</v>
      </c>
      <c r="W60" s="18">
        <f t="shared" si="36"/>
        <v>100000</v>
      </c>
      <c r="X60" s="19">
        <f t="shared" si="37"/>
        <v>1</v>
      </c>
      <c r="Y60" s="3"/>
      <c r="Z60" s="3"/>
      <c r="AA60" s="3"/>
      <c r="AB60" s="3"/>
      <c r="AC60" s="3"/>
      <c r="AD60" s="3"/>
      <c r="AE60" s="3"/>
      <c r="AF60" s="3"/>
    </row>
    <row r="61" spans="1:32" s="22" customFormat="1" ht="31.5">
      <c r="A61" s="5"/>
      <c r="B61" s="73" t="s">
        <v>255</v>
      </c>
      <c r="C61" s="75" t="s">
        <v>256</v>
      </c>
      <c r="D61" s="72">
        <v>0</v>
      </c>
      <c r="E61" s="17">
        <v>0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86">
        <v>0</v>
      </c>
      <c r="R61" s="128">
        <v>0</v>
      </c>
      <c r="S61" s="18">
        <f t="shared" si="10"/>
        <v>0</v>
      </c>
      <c r="T61" s="19">
        <v>0</v>
      </c>
      <c r="U61" s="20">
        <f t="shared" si="26"/>
        <v>0</v>
      </c>
      <c r="V61" s="21" t="e">
        <f t="shared" si="27"/>
        <v>#DIV/0!</v>
      </c>
      <c r="W61" s="18">
        <f t="shared" si="36"/>
        <v>0</v>
      </c>
      <c r="X61" s="19" t="e">
        <f t="shared" si="37"/>
        <v>#DIV/0!</v>
      </c>
      <c r="Y61" s="3"/>
      <c r="Z61" s="3"/>
      <c r="AA61" s="3"/>
      <c r="AB61" s="3"/>
      <c r="AC61" s="3"/>
      <c r="AD61" s="3"/>
      <c r="AE61" s="3"/>
      <c r="AF61" s="3"/>
    </row>
    <row r="62" spans="1:32" s="22" customFormat="1" ht="15.75">
      <c r="A62" s="5"/>
      <c r="B62" s="73" t="s">
        <v>206</v>
      </c>
      <c r="C62" s="74" t="s">
        <v>65</v>
      </c>
      <c r="D62" s="72">
        <v>300000</v>
      </c>
      <c r="E62" s="17">
        <f t="shared" si="35"/>
        <v>25000</v>
      </c>
      <c r="F62" s="16">
        <v>64600</v>
      </c>
      <c r="G62" s="16"/>
      <c r="H62" s="16">
        <v>675</v>
      </c>
      <c r="I62" s="16"/>
      <c r="J62" s="16">
        <v>18525.3</v>
      </c>
      <c r="K62" s="16">
        <v>96426</v>
      </c>
      <c r="L62" s="16">
        <v>2500</v>
      </c>
      <c r="M62" s="16">
        <v>2170.02</v>
      </c>
      <c r="N62" s="16">
        <v>4495.8</v>
      </c>
      <c r="O62" s="16"/>
      <c r="P62" s="16"/>
      <c r="Q62" s="16">
        <v>0</v>
      </c>
      <c r="R62" s="127">
        <v>0</v>
      </c>
      <c r="S62" s="18">
        <f t="shared" si="10"/>
        <v>0</v>
      </c>
      <c r="T62" s="19">
        <f t="shared" si="25"/>
        <v>0</v>
      </c>
      <c r="U62" s="20">
        <f t="shared" si="26"/>
        <v>300000</v>
      </c>
      <c r="V62" s="21">
        <f t="shared" si="27"/>
        <v>1</v>
      </c>
      <c r="W62" s="18">
        <f t="shared" si="36"/>
        <v>300000</v>
      </c>
      <c r="X62" s="19">
        <f t="shared" si="37"/>
        <v>1</v>
      </c>
      <c r="Y62" s="3"/>
      <c r="Z62" s="3"/>
      <c r="AA62" s="3"/>
      <c r="AB62" s="3"/>
      <c r="AC62" s="3"/>
      <c r="AD62" s="3"/>
      <c r="AE62" s="3"/>
      <c r="AF62" s="3"/>
    </row>
    <row r="63" spans="1:32" s="22" customFormat="1" ht="15.75">
      <c r="A63" s="5"/>
      <c r="B63" s="73" t="s">
        <v>207</v>
      </c>
      <c r="C63" s="74" t="s">
        <v>66</v>
      </c>
      <c r="D63" s="72">
        <v>550000</v>
      </c>
      <c r="E63" s="17">
        <f t="shared" si="35"/>
        <v>45833.333333333336</v>
      </c>
      <c r="F63" s="16"/>
      <c r="G63" s="16">
        <v>10165</v>
      </c>
      <c r="H63" s="16"/>
      <c r="I63" s="16"/>
      <c r="J63" s="16"/>
      <c r="K63" s="16"/>
      <c r="L63" s="16"/>
      <c r="M63" s="16"/>
      <c r="N63" s="16">
        <v>708</v>
      </c>
      <c r="O63" s="16"/>
      <c r="P63" s="16"/>
      <c r="Q63" s="16">
        <v>0</v>
      </c>
      <c r="R63" s="127">
        <v>0</v>
      </c>
      <c r="S63" s="18">
        <f t="shared" si="10"/>
        <v>0</v>
      </c>
      <c r="T63" s="19">
        <f t="shared" si="25"/>
        <v>0</v>
      </c>
      <c r="U63" s="20">
        <f t="shared" si="26"/>
        <v>550000</v>
      </c>
      <c r="V63" s="21">
        <f t="shared" si="27"/>
        <v>1</v>
      </c>
      <c r="W63" s="18">
        <f t="shared" si="36"/>
        <v>550000</v>
      </c>
      <c r="X63" s="19">
        <f t="shared" si="37"/>
        <v>1</v>
      </c>
      <c r="Y63" s="3"/>
      <c r="Z63" s="3"/>
      <c r="AA63" s="3"/>
      <c r="AB63" s="3"/>
      <c r="AC63" s="3"/>
      <c r="AD63" s="3"/>
      <c r="AE63" s="3"/>
      <c r="AF63" s="3"/>
    </row>
    <row r="64" spans="1:32" s="22" customFormat="1" ht="15.75">
      <c r="A64" s="5"/>
      <c r="B64" s="73" t="s">
        <v>208</v>
      </c>
      <c r="C64" s="74" t="s">
        <v>67</v>
      </c>
      <c r="D64" s="72">
        <v>500000</v>
      </c>
      <c r="E64" s="17">
        <f t="shared" si="35"/>
        <v>41666.666666666664</v>
      </c>
      <c r="F64" s="16"/>
      <c r="G64" s="16"/>
      <c r="H64" s="16"/>
      <c r="I64" s="16"/>
      <c r="J64" s="16"/>
      <c r="K64" s="16">
        <v>57938</v>
      </c>
      <c r="L64" s="16"/>
      <c r="M64" s="16"/>
      <c r="N64" s="16"/>
      <c r="O64" s="16"/>
      <c r="P64" s="16"/>
      <c r="Q64" s="86">
        <f>2950+5015.34</f>
        <v>7965.34</v>
      </c>
      <c r="R64" s="128">
        <f>104430+5800</f>
        <v>110230</v>
      </c>
      <c r="S64" s="18">
        <f t="shared" si="10"/>
        <v>118195.34</v>
      </c>
      <c r="T64" s="19">
        <f t="shared" si="25"/>
        <v>0.23639067999999999</v>
      </c>
      <c r="U64" s="20">
        <f t="shared" si="26"/>
        <v>381804.66000000003</v>
      </c>
      <c r="V64" s="21">
        <f t="shared" si="27"/>
        <v>0.76360932000000004</v>
      </c>
      <c r="W64" s="18">
        <f t="shared" si="36"/>
        <v>381804.66000000003</v>
      </c>
      <c r="X64" s="19">
        <f t="shared" si="37"/>
        <v>0.76360932000000004</v>
      </c>
      <c r="Y64" s="3"/>
      <c r="Z64" s="3"/>
      <c r="AA64" s="3"/>
      <c r="AB64" s="3"/>
      <c r="AC64" s="3"/>
      <c r="AD64" s="3"/>
      <c r="AE64" s="3"/>
      <c r="AF64" s="3"/>
    </row>
    <row r="65" spans="1:32" s="22" customFormat="1" ht="15.75">
      <c r="A65" s="5"/>
      <c r="B65" s="73" t="s">
        <v>209</v>
      </c>
      <c r="C65" s="74" t="s">
        <v>68</v>
      </c>
      <c r="D65" s="72">
        <v>125000</v>
      </c>
      <c r="E65" s="17">
        <f t="shared" si="35"/>
        <v>10416.666666666666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>
        <v>0</v>
      </c>
      <c r="R65" s="127">
        <v>0</v>
      </c>
      <c r="S65" s="18">
        <f t="shared" si="10"/>
        <v>0</v>
      </c>
      <c r="T65" s="19">
        <f t="shared" si="25"/>
        <v>0</v>
      </c>
      <c r="U65" s="20"/>
      <c r="V65" s="21"/>
      <c r="W65" s="18">
        <f t="shared" si="36"/>
        <v>125000</v>
      </c>
      <c r="X65" s="19">
        <f t="shared" si="37"/>
        <v>1</v>
      </c>
      <c r="Y65" s="3"/>
      <c r="Z65" s="3"/>
      <c r="AA65" s="3"/>
      <c r="AB65" s="3"/>
      <c r="AC65" s="3"/>
      <c r="AD65" s="3"/>
      <c r="AE65" s="3"/>
      <c r="AF65" s="3"/>
    </row>
    <row r="66" spans="1:32" s="22" customFormat="1" ht="15.75">
      <c r="A66" s="5"/>
      <c r="B66" s="73" t="s">
        <v>210</v>
      </c>
      <c r="C66" s="74" t="s">
        <v>211</v>
      </c>
      <c r="D66" s="72">
        <v>2500000</v>
      </c>
      <c r="E66" s="17">
        <f t="shared" si="35"/>
        <v>208333.33333333334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86">
        <v>12163.15</v>
      </c>
      <c r="R66" s="128">
        <v>6794.3</v>
      </c>
      <c r="S66" s="18">
        <f t="shared" si="10"/>
        <v>18957.45</v>
      </c>
      <c r="T66" s="19">
        <f t="shared" si="25"/>
        <v>7.5829800000000004E-3</v>
      </c>
      <c r="U66" s="20">
        <f t="shared" si="26"/>
        <v>2481042.5499999998</v>
      </c>
      <c r="V66" s="21">
        <f t="shared" si="27"/>
        <v>0.99241701999999987</v>
      </c>
      <c r="W66" s="18">
        <f t="shared" si="36"/>
        <v>2481042.5499999998</v>
      </c>
      <c r="X66" s="19">
        <f t="shared" si="37"/>
        <v>0.99241701999999987</v>
      </c>
      <c r="Y66" s="3"/>
      <c r="Z66" s="3"/>
      <c r="AA66" s="3"/>
      <c r="AB66" s="3"/>
      <c r="AC66" s="3"/>
      <c r="AD66" s="3"/>
      <c r="AE66" s="3"/>
      <c r="AF66" s="3"/>
    </row>
    <row r="67" spans="1:32">
      <c r="A67" s="5"/>
      <c r="B67" s="88" t="s">
        <v>69</v>
      </c>
      <c r="C67" s="24" t="s">
        <v>70</v>
      </c>
      <c r="D67" s="9">
        <f>SUM(D69:D78)</f>
        <v>13383000</v>
      </c>
      <c r="E67" s="9">
        <f t="shared" ref="E67:M67" si="38">SUM(E70:E78)</f>
        <v>606916.66666666674</v>
      </c>
      <c r="F67" s="10">
        <f t="shared" si="38"/>
        <v>225888.18</v>
      </c>
      <c r="G67" s="10">
        <f t="shared" si="38"/>
        <v>154377.47</v>
      </c>
      <c r="H67" s="10">
        <f t="shared" si="38"/>
        <v>132348.85999999999</v>
      </c>
      <c r="I67" s="10">
        <f t="shared" si="38"/>
        <v>463397.63999999996</v>
      </c>
      <c r="J67" s="10">
        <f t="shared" si="38"/>
        <v>823424.65</v>
      </c>
      <c r="K67" s="10">
        <f t="shared" si="38"/>
        <v>830003.01</v>
      </c>
      <c r="L67" s="10">
        <f t="shared" si="38"/>
        <v>136909.06</v>
      </c>
      <c r="M67" s="10">
        <f t="shared" si="38"/>
        <v>1039509.3</v>
      </c>
      <c r="N67" s="10">
        <f>SUM(N68:N78)</f>
        <v>112478.67</v>
      </c>
      <c r="O67" s="10">
        <f>SUM(O70:O78)</f>
        <v>102731.34</v>
      </c>
      <c r="P67" s="10">
        <f>SUM(P70:P78)</f>
        <v>110597.85</v>
      </c>
      <c r="Q67" s="10">
        <f>+Q69+Q70+Q71+Q72+Q73+Q74+Q75+Q76+Q77+Q78</f>
        <v>5924428.9199999999</v>
      </c>
      <c r="R67" s="121">
        <f>+R69+R70+R71+R72+R73+R74+R75+R76+R77+R78</f>
        <v>822935.71000000008</v>
      </c>
      <c r="S67" s="11">
        <f>SUM(S69:S78)</f>
        <v>6747364.6300000008</v>
      </c>
      <c r="T67" s="12">
        <f t="shared" si="25"/>
        <v>0.50417429798998736</v>
      </c>
      <c r="U67" s="13">
        <f t="shared" si="26"/>
        <v>6635635.3699999992</v>
      </c>
      <c r="V67" s="14">
        <f t="shared" si="27"/>
        <v>0.49582570201001264</v>
      </c>
      <c r="W67" s="96">
        <f>+W69+W70+W72+W75+W76+W78</f>
        <v>6325036.5999999996</v>
      </c>
      <c r="X67" s="97">
        <f>+W67/D67</f>
        <v>0.47261724575954567</v>
      </c>
      <c r="Y67" s="3"/>
      <c r="Z67" s="3"/>
      <c r="AA67" s="3"/>
      <c r="AB67" s="3"/>
      <c r="AC67" s="3"/>
      <c r="AD67" s="3"/>
      <c r="AE67" s="3"/>
      <c r="AF67" s="3"/>
    </row>
    <row r="68" spans="1:32" hidden="1">
      <c r="A68" s="5"/>
      <c r="B68" s="40" t="s">
        <v>71</v>
      </c>
      <c r="C68" s="28" t="s">
        <v>72</v>
      </c>
      <c r="D68" s="16">
        <v>0</v>
      </c>
      <c r="E68" s="17">
        <v>0</v>
      </c>
      <c r="F68" s="17"/>
      <c r="G68" s="17"/>
      <c r="H68" s="17"/>
      <c r="I68" s="17"/>
      <c r="J68" s="17"/>
      <c r="K68" s="17"/>
      <c r="L68" s="17"/>
      <c r="M68" s="17"/>
      <c r="N68" s="17">
        <v>0</v>
      </c>
      <c r="O68" s="17"/>
      <c r="P68" s="17"/>
      <c r="Q68" s="17"/>
      <c r="R68" s="126"/>
      <c r="S68" s="26"/>
      <c r="T68" s="26"/>
      <c r="U68" s="16">
        <v>0</v>
      </c>
      <c r="V68" s="16"/>
      <c r="W68" s="26"/>
      <c r="X68" s="26"/>
      <c r="Y68" s="3"/>
      <c r="Z68" s="3"/>
      <c r="AA68" s="3"/>
      <c r="AB68" s="3"/>
      <c r="AC68" s="3"/>
      <c r="AD68" s="3"/>
      <c r="AE68" s="3"/>
      <c r="AF68" s="3"/>
    </row>
    <row r="69" spans="1:32" ht="15.75">
      <c r="A69" s="5"/>
      <c r="B69" s="69" t="s">
        <v>257</v>
      </c>
      <c r="C69" s="74" t="s">
        <v>72</v>
      </c>
      <c r="D69" s="72">
        <v>50000</v>
      </c>
      <c r="E69" s="17">
        <v>0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83">
        <f>10000+12900</f>
        <v>22900</v>
      </c>
      <c r="R69" s="122">
        <v>0</v>
      </c>
      <c r="S69" s="18">
        <f t="shared" ref="S69:S78" si="39">+Q69+R69</f>
        <v>22900</v>
      </c>
      <c r="T69" s="19">
        <f t="shared" si="25"/>
        <v>0.45800000000000002</v>
      </c>
      <c r="U69" s="16"/>
      <c r="V69" s="16"/>
      <c r="W69" s="18">
        <f t="shared" ref="W69:W78" si="40">+D69-S69</f>
        <v>27100</v>
      </c>
      <c r="X69" s="19">
        <f t="shared" ref="X69:X78" si="41">+W69/D69</f>
        <v>0.54200000000000004</v>
      </c>
      <c r="Y69" s="3"/>
      <c r="Z69" s="3"/>
      <c r="AA69" s="3"/>
      <c r="AB69" s="3"/>
      <c r="AC69" s="3"/>
      <c r="AD69" s="3"/>
      <c r="AE69" s="3"/>
      <c r="AF69" s="3"/>
    </row>
    <row r="70" spans="1:32" ht="15.75">
      <c r="A70" s="5"/>
      <c r="B70" s="69" t="s">
        <v>212</v>
      </c>
      <c r="C70" s="74" t="s">
        <v>73</v>
      </c>
      <c r="D70" s="72">
        <v>850000</v>
      </c>
      <c r="E70" s="17">
        <f t="shared" ref="E70:E78" si="42">+D70/12</f>
        <v>70833.333333333328</v>
      </c>
      <c r="F70" s="17">
        <v>134559.29999999999</v>
      </c>
      <c r="G70" s="17">
        <v>103973.05</v>
      </c>
      <c r="H70" s="17">
        <v>93081.12</v>
      </c>
      <c r="I70" s="17">
        <v>85994.04</v>
      </c>
      <c r="J70" s="17">
        <v>83589.42</v>
      </c>
      <c r="K70" s="17">
        <v>93194.31</v>
      </c>
      <c r="L70" s="17">
        <v>126974.58</v>
      </c>
      <c r="M70" s="17">
        <v>105244.88</v>
      </c>
      <c r="N70" s="17">
        <f>20300+84301.28</f>
        <v>104601.28</v>
      </c>
      <c r="O70" s="17">
        <v>96562.66</v>
      </c>
      <c r="P70" s="17">
        <v>92709.440000000002</v>
      </c>
      <c r="Q70" s="17">
        <v>135134.20000000001</v>
      </c>
      <c r="R70" s="126">
        <v>95184.2</v>
      </c>
      <c r="S70" s="18">
        <f t="shared" si="39"/>
        <v>230318.40000000002</v>
      </c>
      <c r="T70" s="19">
        <f t="shared" si="25"/>
        <v>0.27096282352941181</v>
      </c>
      <c r="U70" s="20">
        <f t="shared" ref="U70:U78" si="43">+D70-S70</f>
        <v>619681.6</v>
      </c>
      <c r="V70" s="21">
        <f t="shared" ref="V70:V78" si="44">+U70/D70</f>
        <v>0.72903717647058819</v>
      </c>
      <c r="W70" s="18">
        <f t="shared" si="40"/>
        <v>619681.6</v>
      </c>
      <c r="X70" s="19">
        <f t="shared" si="41"/>
        <v>0.72903717647058819</v>
      </c>
      <c r="Y70" s="3"/>
      <c r="Z70" s="3"/>
      <c r="AA70" s="3"/>
      <c r="AB70" s="3"/>
      <c r="AC70" s="3"/>
      <c r="AD70" s="3"/>
      <c r="AE70" s="3"/>
      <c r="AF70" s="3"/>
    </row>
    <row r="71" spans="1:32" ht="15.75">
      <c r="A71" s="5"/>
      <c r="B71" s="69" t="s">
        <v>287</v>
      </c>
      <c r="C71" s="74" t="s">
        <v>286</v>
      </c>
      <c r="D71" s="72">
        <v>50000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>
        <v>0</v>
      </c>
      <c r="R71" s="126">
        <v>12093</v>
      </c>
      <c r="S71" s="18">
        <f t="shared" si="39"/>
        <v>12093</v>
      </c>
      <c r="T71" s="19"/>
      <c r="U71" s="20"/>
      <c r="V71" s="21"/>
      <c r="W71" s="18"/>
      <c r="X71" s="19"/>
      <c r="Y71" s="3"/>
      <c r="Z71" s="3"/>
      <c r="AA71" s="3"/>
      <c r="AB71" s="3"/>
      <c r="AC71" s="3"/>
      <c r="AD71" s="3"/>
      <c r="AE71" s="3"/>
      <c r="AF71" s="3"/>
    </row>
    <row r="72" spans="1:32" ht="15.75">
      <c r="A72" s="5"/>
      <c r="B72" s="69" t="s">
        <v>213</v>
      </c>
      <c r="C72" s="74" t="s">
        <v>74</v>
      </c>
      <c r="D72" s="72">
        <v>50000</v>
      </c>
      <c r="E72" s="17">
        <f t="shared" si="42"/>
        <v>4166.666666666667</v>
      </c>
      <c r="F72" s="17"/>
      <c r="G72" s="17">
        <v>46279.6</v>
      </c>
      <c r="H72" s="17"/>
      <c r="I72" s="17"/>
      <c r="J72" s="17"/>
      <c r="K72" s="17"/>
      <c r="L72" s="17"/>
      <c r="M72" s="17"/>
      <c r="N72" s="17"/>
      <c r="O72" s="17"/>
      <c r="P72" s="17"/>
      <c r="Q72" s="17">
        <v>0</v>
      </c>
      <c r="R72" s="126">
        <v>0</v>
      </c>
      <c r="S72" s="18">
        <f t="shared" si="39"/>
        <v>0</v>
      </c>
      <c r="T72" s="19">
        <f t="shared" si="25"/>
        <v>0</v>
      </c>
      <c r="U72" s="20">
        <f t="shared" si="43"/>
        <v>50000</v>
      </c>
      <c r="V72" s="21">
        <f t="shared" si="44"/>
        <v>1</v>
      </c>
      <c r="W72" s="18">
        <f t="shared" si="40"/>
        <v>50000</v>
      </c>
      <c r="X72" s="19">
        <f t="shared" si="41"/>
        <v>1</v>
      </c>
      <c r="Y72" s="3"/>
      <c r="Z72" s="3"/>
      <c r="AA72" s="3"/>
      <c r="AB72" s="3"/>
      <c r="AC72" s="3"/>
      <c r="AD72" s="3"/>
      <c r="AE72" s="3"/>
      <c r="AF72" s="3"/>
    </row>
    <row r="73" spans="1:32" s="3" customFormat="1" ht="15.75">
      <c r="A73" s="5"/>
      <c r="B73" s="69" t="s">
        <v>270</v>
      </c>
      <c r="C73" s="74" t="s">
        <v>271</v>
      </c>
      <c r="D73" s="72">
        <v>250000</v>
      </c>
      <c r="E73" s="17">
        <f t="shared" si="42"/>
        <v>20833.333333333332</v>
      </c>
      <c r="F73" s="17">
        <v>5188.88</v>
      </c>
      <c r="G73" s="17">
        <v>4124.82</v>
      </c>
      <c r="H73" s="17">
        <v>39267.74</v>
      </c>
      <c r="I73" s="17">
        <v>5709.5</v>
      </c>
      <c r="J73" s="17">
        <v>1273.23</v>
      </c>
      <c r="K73" s="17">
        <v>3185</v>
      </c>
      <c r="L73" s="17">
        <v>9934.48</v>
      </c>
      <c r="M73" s="17">
        <v>2969.75</v>
      </c>
      <c r="N73" s="17">
        <v>7877.39</v>
      </c>
      <c r="O73" s="17">
        <v>6168.68</v>
      </c>
      <c r="P73" s="17">
        <v>17888.41</v>
      </c>
      <c r="Q73" s="83">
        <v>88028</v>
      </c>
      <c r="R73" s="122">
        <v>0</v>
      </c>
      <c r="S73" s="18">
        <f t="shared" si="39"/>
        <v>88028</v>
      </c>
      <c r="T73" s="19">
        <f t="shared" si="25"/>
        <v>0.35211199999999998</v>
      </c>
      <c r="U73" s="20">
        <f t="shared" si="43"/>
        <v>161972</v>
      </c>
      <c r="V73" s="21">
        <f t="shared" si="44"/>
        <v>0.64788800000000002</v>
      </c>
      <c r="W73" s="18">
        <f t="shared" si="40"/>
        <v>161972</v>
      </c>
      <c r="X73" s="19">
        <f t="shared" si="41"/>
        <v>0.64788800000000002</v>
      </c>
    </row>
    <row r="74" spans="1:32" s="3" customFormat="1" ht="15.75">
      <c r="A74" s="5"/>
      <c r="B74" s="69" t="s">
        <v>214</v>
      </c>
      <c r="C74" s="74" t="s">
        <v>75</v>
      </c>
      <c r="D74" s="72">
        <v>125000</v>
      </c>
      <c r="E74" s="17">
        <f>+D74/12</f>
        <v>10416.666666666666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83">
        <v>7121.72</v>
      </c>
      <c r="R74" s="122">
        <v>7237.85</v>
      </c>
      <c r="S74" s="18">
        <f t="shared" si="39"/>
        <v>14359.57</v>
      </c>
      <c r="T74" s="19">
        <f t="shared" si="25"/>
        <v>0.11487656</v>
      </c>
      <c r="U74" s="20"/>
      <c r="V74" s="21"/>
      <c r="W74" s="18">
        <f t="shared" si="40"/>
        <v>110640.43</v>
      </c>
      <c r="X74" s="19">
        <f t="shared" si="41"/>
        <v>0.88512343999999998</v>
      </c>
    </row>
    <row r="75" spans="1:32" s="3" customFormat="1" ht="15.75">
      <c r="A75" s="5"/>
      <c r="B75" s="69" t="s">
        <v>258</v>
      </c>
      <c r="C75" s="74" t="s">
        <v>259</v>
      </c>
      <c r="D75" s="72">
        <v>6000000</v>
      </c>
      <c r="E75" s="17">
        <v>0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83">
        <v>2375635</v>
      </c>
      <c r="R75" s="122">
        <v>0</v>
      </c>
      <c r="S75" s="18">
        <f t="shared" si="39"/>
        <v>2375635</v>
      </c>
      <c r="T75" s="19">
        <f t="shared" si="25"/>
        <v>0.39593916666666668</v>
      </c>
      <c r="U75" s="20"/>
      <c r="V75" s="21"/>
      <c r="W75" s="18">
        <f t="shared" si="40"/>
        <v>3624365</v>
      </c>
      <c r="X75" s="19">
        <f t="shared" si="41"/>
        <v>0.60406083333333338</v>
      </c>
    </row>
    <row r="76" spans="1:32" s="3" customFormat="1" ht="15.75">
      <c r="A76" s="5"/>
      <c r="B76" s="69" t="s">
        <v>215</v>
      </c>
      <c r="C76" s="74" t="s">
        <v>76</v>
      </c>
      <c r="D76" s="72">
        <v>300000</v>
      </c>
      <c r="E76" s="17">
        <f t="shared" si="42"/>
        <v>25000</v>
      </c>
      <c r="F76" s="17">
        <v>86140</v>
      </c>
      <c r="G76" s="17"/>
      <c r="H76" s="17"/>
      <c r="I76" s="17">
        <v>371694.1</v>
      </c>
      <c r="J76" s="17">
        <v>738562</v>
      </c>
      <c r="K76" s="17">
        <v>733623.7</v>
      </c>
      <c r="L76" s="17"/>
      <c r="M76" s="17">
        <v>931294.67</v>
      </c>
      <c r="N76" s="17"/>
      <c r="O76" s="17"/>
      <c r="P76" s="17"/>
      <c r="Q76" s="85">
        <v>0</v>
      </c>
      <c r="R76" s="122">
        <v>1500</v>
      </c>
      <c r="S76" s="18">
        <f t="shared" si="39"/>
        <v>1500</v>
      </c>
      <c r="T76" s="19">
        <f t="shared" si="25"/>
        <v>5.0000000000000001E-3</v>
      </c>
      <c r="U76" s="20"/>
      <c r="V76" s="21"/>
      <c r="W76" s="18">
        <f t="shared" si="40"/>
        <v>298500</v>
      </c>
      <c r="X76" s="19">
        <f t="shared" si="41"/>
        <v>0.995</v>
      </c>
    </row>
    <row r="77" spans="1:32" s="3" customFormat="1" ht="15.75">
      <c r="A77" s="5"/>
      <c r="B77" s="69" t="s">
        <v>260</v>
      </c>
      <c r="C77" s="74" t="s">
        <v>261</v>
      </c>
      <c r="D77" s="72">
        <v>708000</v>
      </c>
      <c r="E77" s="17">
        <f t="shared" si="42"/>
        <v>59000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83">
        <v>1000</v>
      </c>
      <c r="R77" s="122">
        <v>706920.66</v>
      </c>
      <c r="S77" s="18">
        <f t="shared" si="39"/>
        <v>707920.66</v>
      </c>
      <c r="T77" s="19">
        <f t="shared" si="25"/>
        <v>0.99988793785310737</v>
      </c>
      <c r="U77" s="20"/>
      <c r="V77" s="21"/>
      <c r="W77" s="18">
        <f t="shared" si="40"/>
        <v>79.339999999967404</v>
      </c>
      <c r="X77" s="19">
        <f t="shared" si="41"/>
        <v>1.1206214689260932E-4</v>
      </c>
    </row>
    <row r="78" spans="1:32" s="3" customFormat="1" ht="15.75">
      <c r="A78" s="5"/>
      <c r="B78" s="69" t="s">
        <v>272</v>
      </c>
      <c r="C78" s="74" t="s">
        <v>273</v>
      </c>
      <c r="D78" s="72">
        <v>5000000</v>
      </c>
      <c r="E78" s="17">
        <f t="shared" si="42"/>
        <v>416666.66666666669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>
        <v>3294610</v>
      </c>
      <c r="R78" s="126">
        <v>0</v>
      </c>
      <c r="S78" s="18">
        <f t="shared" si="39"/>
        <v>3294610</v>
      </c>
      <c r="T78" s="19">
        <f t="shared" si="25"/>
        <v>0.65892200000000001</v>
      </c>
      <c r="U78" s="20">
        <f t="shared" si="43"/>
        <v>1705390</v>
      </c>
      <c r="V78" s="21">
        <f t="shared" si="44"/>
        <v>0.34107799999999999</v>
      </c>
      <c r="W78" s="18">
        <f t="shared" si="40"/>
        <v>1705390</v>
      </c>
      <c r="X78" s="19">
        <f t="shared" si="41"/>
        <v>0.34107799999999999</v>
      </c>
    </row>
    <row r="79" spans="1:32" s="3" customFormat="1" ht="30" hidden="1">
      <c r="A79" s="5"/>
      <c r="B79" s="90" t="s">
        <v>77</v>
      </c>
      <c r="C79" s="31" t="s">
        <v>78</v>
      </c>
      <c r="D79" s="16">
        <v>0</v>
      </c>
      <c r="E79" s="17">
        <v>0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26"/>
      <c r="S79" s="26"/>
      <c r="T79" s="26"/>
      <c r="U79" s="16">
        <v>0</v>
      </c>
      <c r="V79" s="16"/>
      <c r="W79" s="26"/>
      <c r="X79" s="26"/>
    </row>
    <row r="80" spans="1:32" s="3" customFormat="1">
      <c r="A80" s="5"/>
      <c r="B80" s="88" t="s">
        <v>79</v>
      </c>
      <c r="C80" s="24" t="s">
        <v>80</v>
      </c>
      <c r="D80" s="9">
        <f>SUM(D81:D84)</f>
        <v>9300000</v>
      </c>
      <c r="E80" s="9">
        <f>SUM(E81:E85)</f>
        <v>775000</v>
      </c>
      <c r="F80" s="10">
        <f t="shared" ref="F80:P80" si="45">SUM(F81:F85)</f>
        <v>18457.3</v>
      </c>
      <c r="G80" s="10">
        <f t="shared" si="45"/>
        <v>164579.26</v>
      </c>
      <c r="H80" s="10">
        <f t="shared" si="45"/>
        <v>187184.86</v>
      </c>
      <c r="I80" s="10">
        <f t="shared" si="45"/>
        <v>180288.96</v>
      </c>
      <c r="J80" s="10">
        <f t="shared" si="45"/>
        <v>369537.2</v>
      </c>
      <c r="K80" s="10">
        <f t="shared" si="45"/>
        <v>27645.3</v>
      </c>
      <c r="L80" s="10">
        <f t="shared" si="45"/>
        <v>734034.67999999993</v>
      </c>
      <c r="M80" s="10">
        <f t="shared" si="45"/>
        <v>396953.1</v>
      </c>
      <c r="N80" s="10">
        <f t="shared" si="45"/>
        <v>133548.91999999998</v>
      </c>
      <c r="O80" s="10">
        <f t="shared" si="45"/>
        <v>10868.72</v>
      </c>
      <c r="P80" s="10">
        <f t="shared" si="45"/>
        <v>148629.72</v>
      </c>
      <c r="Q80" s="10">
        <f>SUM(Q81:Q84)</f>
        <v>3840273.33</v>
      </c>
      <c r="R80" s="121">
        <f>+R81+R82+R83+R84</f>
        <v>3171863.45</v>
      </c>
      <c r="S80" s="11">
        <f>+S81+S83+S84</f>
        <v>6733420.7800000003</v>
      </c>
      <c r="T80" s="12">
        <f t="shared" ref="T80:T85" si="46">+S80/D80</f>
        <v>0.72402373978494627</v>
      </c>
      <c r="U80" s="13">
        <f t="shared" ref="U80:U85" si="47">+D80-S80</f>
        <v>2566579.2199999997</v>
      </c>
      <c r="V80" s="14">
        <f t="shared" ref="V80:V85" si="48">+U80/D80</f>
        <v>0.27597626021505373</v>
      </c>
      <c r="W80" s="96">
        <f>+W81+W83+W84</f>
        <v>1066579.22</v>
      </c>
      <c r="X80" s="97">
        <f>+W80/D80</f>
        <v>0.1146859376344086</v>
      </c>
    </row>
    <row r="81" spans="1:32" s="3" customFormat="1" ht="15.75">
      <c r="A81" s="5"/>
      <c r="B81" s="69" t="s">
        <v>274</v>
      </c>
      <c r="C81" s="70" t="s">
        <v>275</v>
      </c>
      <c r="D81" s="72">
        <v>6800000</v>
      </c>
      <c r="E81" s="17">
        <f t="shared" ref="E81:E84" si="49">+D81/12</f>
        <v>566666.66666666663</v>
      </c>
      <c r="F81" s="17">
        <v>9228.65</v>
      </c>
      <c r="G81" s="17">
        <v>6828.63</v>
      </c>
      <c r="H81" s="17">
        <v>18131.43</v>
      </c>
      <c r="I81" s="17">
        <v>14683.48</v>
      </c>
      <c r="J81" s="17">
        <v>12252.6</v>
      </c>
      <c r="K81" s="17">
        <v>7686.65</v>
      </c>
      <c r="L81" s="17">
        <v>139159.34</v>
      </c>
      <c r="M81" s="17">
        <v>73207.75</v>
      </c>
      <c r="N81" s="17">
        <v>22524.46</v>
      </c>
      <c r="O81" s="17">
        <v>5434.36</v>
      </c>
      <c r="P81" s="17">
        <v>74014.86</v>
      </c>
      <c r="Q81" s="17">
        <f>13253.31+3815950.02</f>
        <v>3829203.33</v>
      </c>
      <c r="R81" s="126">
        <f>13347.65+2878808.6</f>
        <v>2892156.25</v>
      </c>
      <c r="S81" s="18">
        <f t="shared" ref="S81:S84" si="50">+Q81+R81</f>
        <v>6721359.5800000001</v>
      </c>
      <c r="T81" s="19">
        <f t="shared" si="46"/>
        <v>0.98843523235294117</v>
      </c>
      <c r="U81" s="20">
        <f t="shared" si="47"/>
        <v>78640.419999999925</v>
      </c>
      <c r="V81" s="21">
        <f t="shared" si="48"/>
        <v>1.1564767647058813E-2</v>
      </c>
      <c r="W81" s="18">
        <f t="shared" ref="W81:W84" si="51">+D81-S81</f>
        <v>78640.419999999925</v>
      </c>
      <c r="X81" s="19">
        <f t="shared" ref="X81:X84" si="52">+W81/D81</f>
        <v>1.1564767647058813E-2</v>
      </c>
    </row>
    <row r="82" spans="1:32" s="3" customFormat="1" ht="15.75">
      <c r="A82" s="5"/>
      <c r="B82" s="69" t="s">
        <v>216</v>
      </c>
      <c r="C82" s="70" t="s">
        <v>81</v>
      </c>
      <c r="D82" s="72">
        <v>1500000</v>
      </c>
      <c r="E82" s="17">
        <f t="shared" si="49"/>
        <v>125000</v>
      </c>
      <c r="F82" s="17">
        <v>9228.65</v>
      </c>
      <c r="G82" s="17">
        <v>6828.63</v>
      </c>
      <c r="H82" s="17">
        <v>18131.43</v>
      </c>
      <c r="I82" s="17">
        <v>14683.48</v>
      </c>
      <c r="J82" s="17">
        <v>12252.6</v>
      </c>
      <c r="K82" s="17">
        <v>7686.65</v>
      </c>
      <c r="L82" s="17">
        <v>139159.34</v>
      </c>
      <c r="M82" s="17">
        <v>73207.75</v>
      </c>
      <c r="N82" s="17">
        <v>22524.46</v>
      </c>
      <c r="O82" s="17">
        <v>5434.36</v>
      </c>
      <c r="P82" s="17">
        <v>74014.86</v>
      </c>
      <c r="Q82" s="17">
        <v>0</v>
      </c>
      <c r="R82" s="126">
        <v>278716</v>
      </c>
      <c r="S82" s="18">
        <f t="shared" si="50"/>
        <v>278716</v>
      </c>
      <c r="T82" s="19">
        <f t="shared" si="46"/>
        <v>0.18581066666666668</v>
      </c>
      <c r="U82" s="20"/>
      <c r="V82" s="21"/>
      <c r="W82" s="18">
        <f t="shared" si="51"/>
        <v>1221284</v>
      </c>
      <c r="X82" s="19">
        <f t="shared" si="52"/>
        <v>0.81418933333333332</v>
      </c>
    </row>
    <row r="83" spans="1:32" s="3" customFormat="1" ht="15.75">
      <c r="A83" s="5"/>
      <c r="B83" s="69" t="s">
        <v>217</v>
      </c>
      <c r="C83" s="70" t="s">
        <v>82</v>
      </c>
      <c r="D83" s="72">
        <v>900000</v>
      </c>
      <c r="E83" s="17">
        <f t="shared" si="49"/>
        <v>75000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83">
        <v>11070</v>
      </c>
      <c r="R83" s="122">
        <v>991.2</v>
      </c>
      <c r="S83" s="18">
        <f t="shared" si="50"/>
        <v>12061.2</v>
      </c>
      <c r="T83" s="19">
        <f t="shared" si="46"/>
        <v>1.3401333333333335E-2</v>
      </c>
      <c r="U83" s="20">
        <f t="shared" si="47"/>
        <v>887938.8</v>
      </c>
      <c r="V83" s="21">
        <f t="shared" si="48"/>
        <v>0.98659866666666673</v>
      </c>
      <c r="W83" s="18">
        <f t="shared" si="51"/>
        <v>887938.8</v>
      </c>
      <c r="X83" s="19">
        <f t="shared" si="52"/>
        <v>0.98659866666666673</v>
      </c>
    </row>
    <row r="84" spans="1:32" s="3" customFormat="1" ht="15.75">
      <c r="A84" s="5"/>
      <c r="B84" s="69" t="s">
        <v>218</v>
      </c>
      <c r="C84" s="70" t="s">
        <v>250</v>
      </c>
      <c r="D84" s="72">
        <v>100000</v>
      </c>
      <c r="E84" s="17">
        <f t="shared" si="49"/>
        <v>8333.3333333333339</v>
      </c>
      <c r="F84" s="17"/>
      <c r="G84" s="17">
        <v>150922</v>
      </c>
      <c r="H84" s="17">
        <v>150922</v>
      </c>
      <c r="I84" s="17">
        <v>150922</v>
      </c>
      <c r="J84" s="17">
        <v>345032</v>
      </c>
      <c r="K84" s="17">
        <v>12272</v>
      </c>
      <c r="L84" s="17">
        <v>455716</v>
      </c>
      <c r="M84" s="17">
        <v>250537.60000000001</v>
      </c>
      <c r="N84" s="17">
        <v>88500</v>
      </c>
      <c r="O84" s="17"/>
      <c r="P84" s="17">
        <v>600</v>
      </c>
      <c r="Q84" s="17">
        <v>0</v>
      </c>
      <c r="R84" s="126">
        <v>0</v>
      </c>
      <c r="S84" s="18">
        <f t="shared" si="50"/>
        <v>0</v>
      </c>
      <c r="T84" s="19">
        <f t="shared" si="46"/>
        <v>0</v>
      </c>
      <c r="U84" s="20">
        <f t="shared" si="47"/>
        <v>100000</v>
      </c>
      <c r="V84" s="21">
        <f t="shared" si="48"/>
        <v>1</v>
      </c>
      <c r="W84" s="18">
        <f t="shared" si="51"/>
        <v>100000</v>
      </c>
      <c r="X84" s="19">
        <f t="shared" si="52"/>
        <v>1</v>
      </c>
    </row>
    <row r="85" spans="1:32" s="3" customFormat="1" ht="15.75" hidden="1">
      <c r="A85" s="5"/>
      <c r="B85" s="73" t="s">
        <v>218</v>
      </c>
      <c r="C85" s="74" t="s">
        <v>83</v>
      </c>
      <c r="D85" s="72">
        <v>100000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26"/>
      <c r="S85" s="26">
        <f t="shared" ref="S85" si="53">SUM(F85:Q85)</f>
        <v>0</v>
      </c>
      <c r="T85" s="19">
        <f t="shared" si="46"/>
        <v>0</v>
      </c>
      <c r="U85" s="20">
        <f t="shared" si="47"/>
        <v>100000</v>
      </c>
      <c r="V85" s="21">
        <f t="shared" si="48"/>
        <v>1</v>
      </c>
      <c r="W85" s="26">
        <f t="shared" ref="W85" si="54">SUM(J85:V85)</f>
        <v>100001</v>
      </c>
      <c r="X85" s="19" t="e">
        <f t="shared" ref="X85" si="55">+W85/H85</f>
        <v>#DIV/0!</v>
      </c>
    </row>
    <row r="86" spans="1:32" s="34" customFormat="1" hidden="1">
      <c r="A86" s="5"/>
      <c r="B86" s="88" t="s">
        <v>84</v>
      </c>
      <c r="C86" s="24" t="s">
        <v>85</v>
      </c>
      <c r="D86" s="32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129"/>
      <c r="S86" s="26"/>
      <c r="T86" s="26"/>
      <c r="U86" s="32"/>
      <c r="V86" s="32"/>
      <c r="W86" s="26"/>
      <c r="X86" s="26"/>
      <c r="Y86" s="1"/>
      <c r="Z86" s="1"/>
      <c r="AA86" s="1"/>
      <c r="AB86" s="1"/>
      <c r="AC86" s="1"/>
      <c r="AD86" s="1"/>
      <c r="AE86" s="1"/>
      <c r="AF86" s="29"/>
    </row>
    <row r="87" spans="1:32" s="29" customFormat="1" hidden="1">
      <c r="A87" s="5"/>
      <c r="B87" s="91" t="s">
        <v>86</v>
      </c>
      <c r="C87" s="28" t="s">
        <v>87</v>
      </c>
      <c r="D87" s="35">
        <v>0</v>
      </c>
      <c r="E87" s="17">
        <v>0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26"/>
      <c r="S87" s="26"/>
      <c r="T87" s="26"/>
      <c r="U87" s="35">
        <v>0</v>
      </c>
      <c r="V87" s="35"/>
      <c r="W87" s="26"/>
      <c r="X87" s="26"/>
      <c r="Y87" s="1"/>
      <c r="Z87" s="1"/>
      <c r="AA87" s="1"/>
      <c r="AB87" s="1"/>
      <c r="AC87" s="1"/>
      <c r="AD87" s="1"/>
      <c r="AE87" s="1"/>
    </row>
    <row r="88" spans="1:32" s="3" customFormat="1" hidden="1">
      <c r="A88" s="5"/>
      <c r="B88" s="91" t="s">
        <v>88</v>
      </c>
      <c r="C88" s="28" t="s">
        <v>89</v>
      </c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26"/>
      <c r="S88" s="26"/>
      <c r="T88" s="26"/>
      <c r="U88" s="16"/>
      <c r="V88" s="16"/>
      <c r="W88" s="26"/>
      <c r="X88" s="26"/>
      <c r="Y88" s="1"/>
      <c r="Z88" s="1"/>
      <c r="AA88" s="1"/>
      <c r="AB88" s="1"/>
      <c r="AC88" s="1"/>
      <c r="AD88" s="1"/>
      <c r="AE88" s="1"/>
      <c r="AF88" s="29"/>
    </row>
    <row r="89" spans="1:32" s="29" customFormat="1" hidden="1">
      <c r="A89" s="5"/>
      <c r="B89" s="91" t="s">
        <v>90</v>
      </c>
      <c r="C89" s="28" t="s">
        <v>91</v>
      </c>
      <c r="D89" s="16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26"/>
      <c r="S89" s="26"/>
      <c r="T89" s="26"/>
      <c r="U89" s="16"/>
      <c r="V89" s="16"/>
      <c r="W89" s="26"/>
      <c r="X89" s="26"/>
      <c r="Y89" s="1"/>
      <c r="Z89" s="1"/>
      <c r="AA89" s="1"/>
      <c r="AB89" s="1"/>
      <c r="AC89" s="1"/>
      <c r="AD89" s="1"/>
      <c r="AE89" s="1"/>
    </row>
    <row r="90" spans="1:32" s="29" customFormat="1" hidden="1">
      <c r="A90" s="5"/>
      <c r="B90" s="91" t="s">
        <v>92</v>
      </c>
      <c r="C90" s="28" t="s">
        <v>93</v>
      </c>
      <c r="D90" s="16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26"/>
      <c r="S90" s="26"/>
      <c r="T90" s="26"/>
      <c r="U90" s="16"/>
      <c r="V90" s="16"/>
      <c r="W90" s="26"/>
      <c r="X90" s="26"/>
      <c r="Y90" s="1"/>
      <c r="Z90" s="1"/>
      <c r="AA90" s="1"/>
      <c r="AB90" s="1"/>
      <c r="AC90" s="1"/>
      <c r="AD90" s="1"/>
      <c r="AE90" s="1"/>
    </row>
    <row r="91" spans="1:32" s="37" customFormat="1">
      <c r="A91" s="36"/>
      <c r="B91" s="88" t="s">
        <v>84</v>
      </c>
      <c r="C91" s="24" t="s">
        <v>85</v>
      </c>
      <c r="D91" s="9">
        <f t="shared" ref="D91:P91" si="56">SUM(D92:D95)</f>
        <v>6531340</v>
      </c>
      <c r="E91" s="9">
        <f t="shared" si="56"/>
        <v>544278.33333333326</v>
      </c>
      <c r="F91" s="10">
        <f t="shared" si="56"/>
        <v>0</v>
      </c>
      <c r="G91" s="10">
        <f t="shared" si="56"/>
        <v>924.58</v>
      </c>
      <c r="H91" s="10">
        <f t="shared" si="56"/>
        <v>980</v>
      </c>
      <c r="I91" s="10">
        <f t="shared" si="56"/>
        <v>1355.02</v>
      </c>
      <c r="J91" s="10">
        <f t="shared" si="56"/>
        <v>120218.40000000001</v>
      </c>
      <c r="K91" s="10">
        <f t="shared" si="56"/>
        <v>55460</v>
      </c>
      <c r="L91" s="10">
        <f t="shared" si="56"/>
        <v>102789.94</v>
      </c>
      <c r="M91" s="10">
        <f t="shared" si="56"/>
        <v>3962373.71</v>
      </c>
      <c r="N91" s="10">
        <f t="shared" si="56"/>
        <v>5008693.75</v>
      </c>
      <c r="O91" s="10">
        <f>SUM(O92:O95)</f>
        <v>231564.91</v>
      </c>
      <c r="P91" s="10">
        <f t="shared" si="56"/>
        <v>324.89999999999998</v>
      </c>
      <c r="Q91" s="10">
        <f>SUM(Q92:Q95)</f>
        <v>636174.96</v>
      </c>
      <c r="R91" s="121">
        <f>+R92+R93+R94+R95</f>
        <v>3871</v>
      </c>
      <c r="S91" s="11">
        <f>+S92+S93+S94+S95</f>
        <v>640045.96</v>
      </c>
      <c r="T91" s="12">
        <f t="shared" ref="T91:T117" si="57">+S91/D91</f>
        <v>9.7996117182691453E-2</v>
      </c>
      <c r="U91" s="13">
        <f>+D91-S91</f>
        <v>5891294.04</v>
      </c>
      <c r="V91" s="14">
        <f t="shared" ref="V91:V117" si="58">+U91/D91</f>
        <v>0.90200388281730859</v>
      </c>
      <c r="W91" s="96">
        <f>+W92+W93+W94+W95</f>
        <v>5891294.04</v>
      </c>
      <c r="X91" s="97">
        <f>+W91/D91</f>
        <v>0.90200388281730859</v>
      </c>
    </row>
    <row r="92" spans="1:32" s="3" customFormat="1" ht="15.75">
      <c r="A92" s="5"/>
      <c r="B92" s="73" t="s">
        <v>86</v>
      </c>
      <c r="C92" s="74" t="s">
        <v>87</v>
      </c>
      <c r="D92" s="72">
        <v>54000</v>
      </c>
      <c r="E92" s="17">
        <f t="shared" ref="E92:E117" si="59">+D92/12</f>
        <v>4500</v>
      </c>
      <c r="F92" s="17"/>
      <c r="G92" s="17">
        <v>924.58</v>
      </c>
      <c r="H92" s="17">
        <v>980</v>
      </c>
      <c r="I92" s="17">
        <f>530.02+825</f>
        <v>1355.02</v>
      </c>
      <c r="J92" s="17">
        <f>160.22+10867.8</f>
        <v>11028.019999999999</v>
      </c>
      <c r="K92" s="17"/>
      <c r="L92" s="17">
        <f>1628.54+79532</f>
        <v>81160.539999999994</v>
      </c>
      <c r="M92" s="17">
        <f>6514.3+812347.2</f>
        <v>818861.5</v>
      </c>
      <c r="N92" s="17"/>
      <c r="O92" s="17">
        <f>874.91+230690</f>
        <v>231564.91</v>
      </c>
      <c r="P92" s="17">
        <v>324.89999999999998</v>
      </c>
      <c r="Q92" s="83">
        <v>1600.08</v>
      </c>
      <c r="R92" s="122">
        <v>95</v>
      </c>
      <c r="S92" s="18">
        <f t="shared" ref="S92:S117" si="60">+Q92+R92</f>
        <v>1695.08</v>
      </c>
      <c r="T92" s="19">
        <f t="shared" si="57"/>
        <v>3.1390370370370367E-2</v>
      </c>
      <c r="U92" s="20">
        <f t="shared" ref="U92:U109" si="61">+D92-S92</f>
        <v>52304.92</v>
      </c>
      <c r="V92" s="21">
        <f t="shared" si="58"/>
        <v>0.9686096296296296</v>
      </c>
      <c r="W92" s="18">
        <f t="shared" ref="W92:W95" si="62">+D92-S92</f>
        <v>52304.92</v>
      </c>
      <c r="X92" s="19">
        <f t="shared" ref="X92:X95" si="63">+W92/D92</f>
        <v>0.9686096296296296</v>
      </c>
    </row>
    <row r="93" spans="1:32" s="3" customFormat="1" ht="15.75">
      <c r="A93" s="5"/>
      <c r="B93" s="73" t="s">
        <v>88</v>
      </c>
      <c r="C93" s="74" t="s">
        <v>89</v>
      </c>
      <c r="D93" s="72">
        <v>420000</v>
      </c>
      <c r="E93" s="17">
        <f t="shared" si="59"/>
        <v>35000</v>
      </c>
      <c r="F93" s="17"/>
      <c r="G93" s="17"/>
      <c r="H93" s="17"/>
      <c r="I93" s="17"/>
      <c r="J93" s="17">
        <v>107380</v>
      </c>
      <c r="K93" s="17">
        <v>55460</v>
      </c>
      <c r="L93" s="17">
        <v>21629.4</v>
      </c>
      <c r="M93" s="17">
        <v>2060862.21</v>
      </c>
      <c r="N93" s="17">
        <v>2303912.5</v>
      </c>
      <c r="O93" s="17"/>
      <c r="P93" s="17"/>
      <c r="Q93" s="83">
        <v>414014.8</v>
      </c>
      <c r="R93" s="122">
        <v>3776</v>
      </c>
      <c r="S93" s="18">
        <f t="shared" si="60"/>
        <v>417790.8</v>
      </c>
      <c r="T93" s="19">
        <f t="shared" si="57"/>
        <v>0.99473999999999996</v>
      </c>
      <c r="U93" s="20">
        <f t="shared" si="61"/>
        <v>2209.2000000000116</v>
      </c>
      <c r="V93" s="21">
        <f t="shared" si="58"/>
        <v>5.2600000000000277E-3</v>
      </c>
      <c r="W93" s="18">
        <f t="shared" si="62"/>
        <v>2209.2000000000116</v>
      </c>
      <c r="X93" s="19">
        <f t="shared" si="63"/>
        <v>5.2600000000000277E-3</v>
      </c>
    </row>
    <row r="94" spans="1:32" s="3" customFormat="1" ht="15.75">
      <c r="A94" s="5"/>
      <c r="B94" s="73" t="s">
        <v>90</v>
      </c>
      <c r="C94" s="74" t="s">
        <v>91</v>
      </c>
      <c r="D94" s="72">
        <v>4287340</v>
      </c>
      <c r="E94" s="17">
        <f t="shared" si="59"/>
        <v>357278.33333333331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83">
        <v>220560.08</v>
      </c>
      <c r="R94" s="122">
        <v>0</v>
      </c>
      <c r="S94" s="18">
        <f t="shared" si="60"/>
        <v>220560.08</v>
      </c>
      <c r="T94" s="19">
        <f t="shared" si="57"/>
        <v>5.1444504051463141E-2</v>
      </c>
      <c r="U94" s="20"/>
      <c r="V94" s="21"/>
      <c r="W94" s="18">
        <f t="shared" si="62"/>
        <v>4066779.92</v>
      </c>
      <c r="X94" s="19">
        <f t="shared" si="63"/>
        <v>0.94855549594853683</v>
      </c>
    </row>
    <row r="95" spans="1:32" s="3" customFormat="1" ht="15.75">
      <c r="A95" s="5"/>
      <c r="B95" s="73" t="s">
        <v>92</v>
      </c>
      <c r="C95" s="74" t="s">
        <v>93</v>
      </c>
      <c r="D95" s="72">
        <v>1770000</v>
      </c>
      <c r="E95" s="17">
        <f t="shared" si="59"/>
        <v>147500</v>
      </c>
      <c r="F95" s="17"/>
      <c r="G95" s="17"/>
      <c r="H95" s="17"/>
      <c r="I95" s="17"/>
      <c r="J95" s="17">
        <v>1810.38</v>
      </c>
      <c r="K95" s="17"/>
      <c r="L95" s="17"/>
      <c r="M95" s="17">
        <v>1082650</v>
      </c>
      <c r="N95" s="17">
        <v>2704781.25</v>
      </c>
      <c r="O95" s="17"/>
      <c r="P95" s="17"/>
      <c r="Q95" s="17">
        <v>0</v>
      </c>
      <c r="R95" s="126">
        <v>0</v>
      </c>
      <c r="S95" s="18">
        <f t="shared" si="60"/>
        <v>0</v>
      </c>
      <c r="T95" s="19">
        <f t="shared" si="57"/>
        <v>0</v>
      </c>
      <c r="U95" s="20">
        <f t="shared" si="61"/>
        <v>1770000</v>
      </c>
      <c r="V95" s="21">
        <f t="shared" si="58"/>
        <v>1</v>
      </c>
      <c r="W95" s="18">
        <f t="shared" si="62"/>
        <v>1770000</v>
      </c>
      <c r="X95" s="19">
        <f t="shared" si="63"/>
        <v>1</v>
      </c>
    </row>
    <row r="96" spans="1:32" s="34" customFormat="1">
      <c r="A96" s="5"/>
      <c r="B96" s="88" t="s">
        <v>94</v>
      </c>
      <c r="C96" s="24" t="s">
        <v>95</v>
      </c>
      <c r="D96" s="9">
        <f t="shared" ref="D96:P96" si="64">SUM(D97:D100)</f>
        <v>1250000</v>
      </c>
      <c r="E96" s="9">
        <f>SUM(E97:E100)</f>
        <v>104166.66666666667</v>
      </c>
      <c r="F96" s="10">
        <f t="shared" si="64"/>
        <v>112430.25</v>
      </c>
      <c r="G96" s="10">
        <f t="shared" si="64"/>
        <v>885</v>
      </c>
      <c r="H96" s="10">
        <f t="shared" si="64"/>
        <v>2996.11</v>
      </c>
      <c r="I96" s="10">
        <f t="shared" si="64"/>
        <v>15036</v>
      </c>
      <c r="J96" s="10">
        <f t="shared" si="64"/>
        <v>59000</v>
      </c>
      <c r="K96" s="10">
        <f t="shared" si="64"/>
        <v>812254.5</v>
      </c>
      <c r="L96" s="10">
        <f t="shared" si="64"/>
        <v>229548.6</v>
      </c>
      <c r="M96" s="10">
        <f t="shared" si="64"/>
        <v>823017.2</v>
      </c>
      <c r="N96" s="10">
        <f t="shared" si="64"/>
        <v>5803.16</v>
      </c>
      <c r="O96" s="10">
        <f>SUM(O97:O100)</f>
        <v>194481.54</v>
      </c>
      <c r="P96" s="10">
        <f t="shared" si="64"/>
        <v>160</v>
      </c>
      <c r="Q96" s="10">
        <f>SUM(Q97:Q100)</f>
        <v>181595.7</v>
      </c>
      <c r="R96" s="121">
        <f>+R97+R98+R99+R100</f>
        <v>24786.04</v>
      </c>
      <c r="S96" s="11">
        <f>+S97+S98+S99+S100</f>
        <v>206381.74000000002</v>
      </c>
      <c r="T96" s="12">
        <f t="shared" si="57"/>
        <v>0.16510539200000002</v>
      </c>
      <c r="U96" s="13">
        <f>+D96-S96</f>
        <v>1043618.26</v>
      </c>
      <c r="V96" s="14">
        <f t="shared" si="58"/>
        <v>0.83489460800000004</v>
      </c>
      <c r="W96" s="96">
        <f>+W97+W98+W99+W100</f>
        <v>1043618.26</v>
      </c>
      <c r="X96" s="97">
        <f>+W96/D96</f>
        <v>0.83489460800000004</v>
      </c>
      <c r="Y96" s="1"/>
      <c r="Z96" s="1"/>
      <c r="AA96" s="1"/>
      <c r="AB96" s="1"/>
      <c r="AC96" s="1"/>
      <c r="AD96" s="1"/>
      <c r="AE96" s="1"/>
      <c r="AF96" s="29"/>
    </row>
    <row r="97" spans="1:32" s="3" customFormat="1" ht="15.75">
      <c r="A97" s="5"/>
      <c r="B97" s="69" t="s">
        <v>219</v>
      </c>
      <c r="C97" s="70" t="s">
        <v>96</v>
      </c>
      <c r="D97" s="72">
        <v>400000</v>
      </c>
      <c r="E97" s="17">
        <f t="shared" si="59"/>
        <v>33333.333333333336</v>
      </c>
      <c r="F97" s="17"/>
      <c r="G97" s="17"/>
      <c r="H97" s="17"/>
      <c r="I97" s="17"/>
      <c r="J97" s="17"/>
      <c r="K97" s="17">
        <v>56640</v>
      </c>
      <c r="L97" s="17">
        <v>113280</v>
      </c>
      <c r="M97" s="17"/>
      <c r="N97" s="17">
        <v>1239</v>
      </c>
      <c r="O97" s="17">
        <v>155869.39000000001</v>
      </c>
      <c r="P97" s="17"/>
      <c r="Q97" s="17">
        <v>0</v>
      </c>
      <c r="R97" s="126">
        <v>1546.5</v>
      </c>
      <c r="S97" s="18">
        <f t="shared" si="60"/>
        <v>1546.5</v>
      </c>
      <c r="T97" s="19">
        <f t="shared" si="57"/>
        <v>3.8662499999999999E-3</v>
      </c>
      <c r="U97" s="20">
        <f t="shared" si="61"/>
        <v>398453.5</v>
      </c>
      <c r="V97" s="21">
        <f t="shared" si="58"/>
        <v>0.99613375000000004</v>
      </c>
      <c r="W97" s="18">
        <f t="shared" ref="W97:W100" si="65">+D97-S97</f>
        <v>398453.5</v>
      </c>
      <c r="X97" s="19">
        <f t="shared" ref="X97:X100" si="66">+W97/D97</f>
        <v>0.99613375000000004</v>
      </c>
      <c r="Y97" s="2"/>
      <c r="Z97" s="2"/>
      <c r="AA97" s="2"/>
      <c r="AB97" s="2"/>
      <c r="AC97" s="2"/>
      <c r="AD97" s="2"/>
      <c r="AE97" s="2"/>
      <c r="AF97" s="4"/>
    </row>
    <row r="98" spans="1:32" s="3" customFormat="1" ht="15.75">
      <c r="A98" s="5"/>
      <c r="B98" s="69" t="s">
        <v>220</v>
      </c>
      <c r="C98" s="70" t="s">
        <v>97</v>
      </c>
      <c r="D98" s="76">
        <v>300000</v>
      </c>
      <c r="E98" s="17">
        <f t="shared" si="59"/>
        <v>25000</v>
      </c>
      <c r="F98" s="17">
        <v>1099</v>
      </c>
      <c r="G98" s="17"/>
      <c r="H98" s="17">
        <v>2996.11</v>
      </c>
      <c r="I98" s="17">
        <v>236</v>
      </c>
      <c r="J98" s="17"/>
      <c r="K98" s="17">
        <v>1790.5</v>
      </c>
      <c r="L98" s="17">
        <v>71700</v>
      </c>
      <c r="M98" s="17">
        <v>2917.2</v>
      </c>
      <c r="N98" s="17">
        <v>4564.16</v>
      </c>
      <c r="O98" s="17">
        <v>1799.03</v>
      </c>
      <c r="P98" s="17"/>
      <c r="Q98" s="83">
        <v>166845.70000000001</v>
      </c>
      <c r="R98" s="122">
        <v>2239.54</v>
      </c>
      <c r="S98" s="18">
        <f t="shared" si="60"/>
        <v>169085.24000000002</v>
      </c>
      <c r="T98" s="19">
        <f t="shared" si="57"/>
        <v>0.56361746666666668</v>
      </c>
      <c r="U98" s="20">
        <f t="shared" si="61"/>
        <v>130914.75999999998</v>
      </c>
      <c r="V98" s="21">
        <f t="shared" si="58"/>
        <v>0.43638253333333327</v>
      </c>
      <c r="W98" s="18">
        <f t="shared" si="65"/>
        <v>130914.75999999998</v>
      </c>
      <c r="X98" s="19">
        <f t="shared" si="66"/>
        <v>0.43638253333333327</v>
      </c>
      <c r="Y98" s="2"/>
      <c r="Z98" s="2"/>
      <c r="AA98" s="2"/>
      <c r="AB98" s="2"/>
      <c r="AC98" s="2"/>
      <c r="AD98" s="2"/>
      <c r="AE98" s="2"/>
      <c r="AF98" s="4"/>
    </row>
    <row r="99" spans="1:32" s="3" customFormat="1" ht="15.75">
      <c r="A99" s="5"/>
      <c r="B99" s="69" t="s">
        <v>221</v>
      </c>
      <c r="C99" s="70" t="s">
        <v>98</v>
      </c>
      <c r="D99" s="76">
        <v>200000</v>
      </c>
      <c r="E99" s="17">
        <f t="shared" si="59"/>
        <v>16666.666666666668</v>
      </c>
      <c r="F99" s="17">
        <v>94031.25</v>
      </c>
      <c r="G99" s="17">
        <v>885</v>
      </c>
      <c r="H99" s="17"/>
      <c r="I99" s="17"/>
      <c r="J99" s="17">
        <v>59000</v>
      </c>
      <c r="K99" s="17">
        <v>732824</v>
      </c>
      <c r="L99" s="17">
        <v>44568.6</v>
      </c>
      <c r="M99" s="17">
        <v>820100</v>
      </c>
      <c r="N99" s="17"/>
      <c r="O99" s="17">
        <v>36718.120000000003</v>
      </c>
      <c r="P99" s="17"/>
      <c r="Q99" s="83">
        <v>14750</v>
      </c>
      <c r="R99" s="122">
        <v>0</v>
      </c>
      <c r="S99" s="18">
        <f t="shared" si="60"/>
        <v>14750</v>
      </c>
      <c r="T99" s="19">
        <f t="shared" si="57"/>
        <v>7.3749999999999996E-2</v>
      </c>
      <c r="U99" s="20">
        <f t="shared" si="61"/>
        <v>185250</v>
      </c>
      <c r="V99" s="21">
        <f t="shared" si="58"/>
        <v>0.92625000000000002</v>
      </c>
      <c r="W99" s="18">
        <f t="shared" si="65"/>
        <v>185250</v>
      </c>
      <c r="X99" s="19">
        <f t="shared" si="66"/>
        <v>0.92625000000000002</v>
      </c>
      <c r="Y99" s="2"/>
      <c r="Z99" s="2"/>
      <c r="AA99" s="2"/>
      <c r="AB99" s="2"/>
      <c r="AC99" s="2"/>
      <c r="AD99" s="2"/>
      <c r="AE99" s="2"/>
      <c r="AF99" s="4"/>
    </row>
    <row r="100" spans="1:32" s="3" customFormat="1" ht="15.75">
      <c r="A100" s="5"/>
      <c r="B100" s="69" t="s">
        <v>222</v>
      </c>
      <c r="C100" s="70" t="s">
        <v>99</v>
      </c>
      <c r="D100" s="76">
        <v>350000</v>
      </c>
      <c r="E100" s="17">
        <f t="shared" si="59"/>
        <v>29166.666666666668</v>
      </c>
      <c r="F100" s="39">
        <v>17300</v>
      </c>
      <c r="G100" s="39"/>
      <c r="H100" s="39"/>
      <c r="I100" s="39">
        <v>14800</v>
      </c>
      <c r="J100" s="39"/>
      <c r="K100" s="39">
        <v>21000</v>
      </c>
      <c r="L100" s="39"/>
      <c r="M100" s="39"/>
      <c r="N100" s="39"/>
      <c r="O100" s="39">
        <v>95</v>
      </c>
      <c r="P100" s="39">
        <v>160</v>
      </c>
      <c r="Q100" s="39">
        <v>0</v>
      </c>
      <c r="R100" s="130">
        <v>21000</v>
      </c>
      <c r="S100" s="18">
        <f t="shared" si="60"/>
        <v>21000</v>
      </c>
      <c r="T100" s="19">
        <f t="shared" si="57"/>
        <v>0.06</v>
      </c>
      <c r="U100" s="20">
        <f t="shared" si="61"/>
        <v>329000</v>
      </c>
      <c r="V100" s="21">
        <f t="shared" si="58"/>
        <v>0.94</v>
      </c>
      <c r="W100" s="18">
        <f t="shared" si="65"/>
        <v>329000</v>
      </c>
      <c r="X100" s="19">
        <f t="shared" si="66"/>
        <v>0.94</v>
      </c>
      <c r="Y100" s="2"/>
      <c r="Z100" s="2"/>
      <c r="AA100" s="2"/>
      <c r="AB100" s="2"/>
      <c r="AC100" s="2"/>
      <c r="AD100" s="2"/>
      <c r="AE100" s="2"/>
      <c r="AF100" s="4"/>
    </row>
    <row r="101" spans="1:32" s="3" customFormat="1">
      <c r="A101" s="5"/>
      <c r="B101" s="88" t="s">
        <v>100</v>
      </c>
      <c r="C101" s="24" t="s">
        <v>101</v>
      </c>
      <c r="D101" s="9">
        <f t="shared" ref="D101:P101" si="67">SUM(D102:D103)</f>
        <v>750000</v>
      </c>
      <c r="E101" s="9">
        <f>SUM(E102:E103)</f>
        <v>62500</v>
      </c>
      <c r="F101" s="10">
        <f t="shared" si="67"/>
        <v>501641.87</v>
      </c>
      <c r="G101" s="10">
        <f t="shared" si="67"/>
        <v>300000</v>
      </c>
      <c r="H101" s="10">
        <f t="shared" si="67"/>
        <v>1996327.75</v>
      </c>
      <c r="I101" s="10">
        <f t="shared" si="67"/>
        <v>759054.74</v>
      </c>
      <c r="J101" s="10">
        <f t="shared" si="67"/>
        <v>0</v>
      </c>
      <c r="K101" s="10">
        <f t="shared" si="67"/>
        <v>0</v>
      </c>
      <c r="L101" s="10">
        <f t="shared" si="67"/>
        <v>0</v>
      </c>
      <c r="M101" s="10">
        <f t="shared" si="67"/>
        <v>0</v>
      </c>
      <c r="N101" s="10">
        <f t="shared" si="67"/>
        <v>0</v>
      </c>
      <c r="O101" s="10">
        <f t="shared" si="67"/>
        <v>93476.17</v>
      </c>
      <c r="P101" s="10">
        <f t="shared" si="67"/>
        <v>576091</v>
      </c>
      <c r="Q101" s="10">
        <f>+Q102+Q103</f>
        <v>0</v>
      </c>
      <c r="R101" s="121">
        <f>+R102+R103</f>
        <v>0</v>
      </c>
      <c r="S101" s="11">
        <f>+S102+S103</f>
        <v>0</v>
      </c>
      <c r="T101" s="12">
        <f t="shared" si="57"/>
        <v>0</v>
      </c>
      <c r="U101" s="13">
        <f t="shared" si="61"/>
        <v>750000</v>
      </c>
      <c r="V101" s="14">
        <f t="shared" si="58"/>
        <v>1</v>
      </c>
      <c r="W101" s="96">
        <f>+W102+W103</f>
        <v>750000</v>
      </c>
      <c r="X101" s="97">
        <f>+W101/D101</f>
        <v>1</v>
      </c>
      <c r="Y101" s="2"/>
      <c r="Z101" s="2"/>
      <c r="AA101" s="2"/>
      <c r="AB101" s="2"/>
      <c r="AC101" s="2"/>
      <c r="AD101" s="2"/>
      <c r="AE101" s="2"/>
      <c r="AF101" s="4"/>
    </row>
    <row r="102" spans="1:32" s="40" customFormat="1" ht="15.75">
      <c r="A102" s="36"/>
      <c r="B102" s="77" t="s">
        <v>102</v>
      </c>
      <c r="C102" s="75" t="s">
        <v>103</v>
      </c>
      <c r="D102" s="72">
        <v>400000</v>
      </c>
      <c r="E102" s="17">
        <f t="shared" si="59"/>
        <v>33333.333333333336</v>
      </c>
      <c r="F102" s="17">
        <v>501641.87</v>
      </c>
      <c r="G102" s="17"/>
      <c r="H102" s="17">
        <v>1554121.75</v>
      </c>
      <c r="I102" s="17">
        <v>759054.74</v>
      </c>
      <c r="J102" s="17"/>
      <c r="K102" s="17"/>
      <c r="L102" s="17"/>
      <c r="M102" s="17"/>
      <c r="N102" s="17"/>
      <c r="O102" s="17">
        <v>93476.17</v>
      </c>
      <c r="P102" s="17">
        <v>3245</v>
      </c>
      <c r="Q102" s="17">
        <v>0</v>
      </c>
      <c r="R102" s="126">
        <v>0</v>
      </c>
      <c r="S102" s="18">
        <f t="shared" si="60"/>
        <v>0</v>
      </c>
      <c r="T102" s="19">
        <f t="shared" si="57"/>
        <v>0</v>
      </c>
      <c r="U102" s="20">
        <f>+D102-S102</f>
        <v>400000</v>
      </c>
      <c r="V102" s="21">
        <f t="shared" si="58"/>
        <v>1</v>
      </c>
      <c r="W102" s="18">
        <f t="shared" ref="W102:W103" si="68">+D102-S102</f>
        <v>400000</v>
      </c>
      <c r="X102" s="19">
        <f t="shared" ref="X102:X103" si="69">+W102/D102</f>
        <v>1</v>
      </c>
      <c r="Y102" s="37"/>
      <c r="Z102" s="37"/>
      <c r="AA102" s="37"/>
      <c r="AB102" s="37"/>
      <c r="AC102" s="37"/>
      <c r="AD102" s="37"/>
      <c r="AE102" s="37"/>
    </row>
    <row r="103" spans="1:32" s="40" customFormat="1" ht="15.75">
      <c r="A103" s="36"/>
      <c r="B103" s="77" t="s">
        <v>104</v>
      </c>
      <c r="C103" s="75" t="s">
        <v>105</v>
      </c>
      <c r="D103" s="72">
        <v>350000</v>
      </c>
      <c r="E103" s="17">
        <f t="shared" si="59"/>
        <v>29166.666666666668</v>
      </c>
      <c r="F103" s="17"/>
      <c r="G103" s="17">
        <v>300000</v>
      </c>
      <c r="H103" s="17">
        <v>442206</v>
      </c>
      <c r="I103" s="17"/>
      <c r="J103" s="17"/>
      <c r="K103" s="17"/>
      <c r="L103" s="17"/>
      <c r="M103" s="17"/>
      <c r="N103" s="17"/>
      <c r="O103" s="17"/>
      <c r="P103" s="17">
        <v>572846</v>
      </c>
      <c r="Q103" s="17">
        <v>0</v>
      </c>
      <c r="R103" s="126">
        <v>0</v>
      </c>
      <c r="S103" s="18">
        <f t="shared" si="60"/>
        <v>0</v>
      </c>
      <c r="T103" s="19">
        <f t="shared" si="57"/>
        <v>0</v>
      </c>
      <c r="U103" s="20">
        <f>+D103-S103</f>
        <v>350000</v>
      </c>
      <c r="V103" s="21">
        <f t="shared" si="58"/>
        <v>1</v>
      </c>
      <c r="W103" s="18">
        <f t="shared" si="68"/>
        <v>350000</v>
      </c>
      <c r="X103" s="19">
        <f t="shared" si="69"/>
        <v>1</v>
      </c>
      <c r="Y103" s="37"/>
      <c r="Z103" s="37"/>
      <c r="AA103" s="37"/>
      <c r="AB103" s="37"/>
      <c r="AC103" s="37"/>
      <c r="AD103" s="37"/>
      <c r="AE103" s="37"/>
    </row>
    <row r="104" spans="1:32" s="37" customFormat="1">
      <c r="A104" s="36"/>
      <c r="B104" s="88" t="s">
        <v>106</v>
      </c>
      <c r="C104" s="24" t="s">
        <v>107</v>
      </c>
      <c r="D104" s="9">
        <f t="shared" ref="D104:P104" si="70">SUM(D106:D108)</f>
        <v>4200000</v>
      </c>
      <c r="E104" s="9">
        <f>SUM(E106:E108)</f>
        <v>350000</v>
      </c>
      <c r="F104" s="10">
        <f t="shared" si="70"/>
        <v>368486.44</v>
      </c>
      <c r="G104" s="10">
        <f t="shared" si="70"/>
        <v>167210.88</v>
      </c>
      <c r="H104" s="10">
        <f t="shared" si="70"/>
        <v>329107.14</v>
      </c>
      <c r="I104" s="10">
        <f t="shared" si="70"/>
        <v>16852.989999999998</v>
      </c>
      <c r="J104" s="10">
        <f t="shared" si="70"/>
        <v>103690.63</v>
      </c>
      <c r="K104" s="10">
        <f t="shared" si="70"/>
        <v>28147.95</v>
      </c>
      <c r="L104" s="10">
        <f t="shared" si="70"/>
        <v>178302.56</v>
      </c>
      <c r="M104" s="10">
        <f t="shared" si="70"/>
        <v>80676.36</v>
      </c>
      <c r="N104" s="10">
        <f>SUM(N106:N108)</f>
        <v>8509.4599999999991</v>
      </c>
      <c r="O104" s="10">
        <f>SUM(O106:O108)</f>
        <v>315158.68</v>
      </c>
      <c r="P104" s="10">
        <f t="shared" si="70"/>
        <v>7996.37</v>
      </c>
      <c r="Q104" s="10">
        <f>SUM(Q106:Q108)</f>
        <v>239889.64</v>
      </c>
      <c r="R104" s="121">
        <f>+R105+R106+R107+R108</f>
        <v>5070.2800000000007</v>
      </c>
      <c r="S104" s="11">
        <f>+S106+S107+S108</f>
        <v>244428.92</v>
      </c>
      <c r="T104" s="12">
        <f t="shared" si="57"/>
        <v>5.8197361904761907E-2</v>
      </c>
      <c r="U104" s="13">
        <f t="shared" si="61"/>
        <v>3955571.08</v>
      </c>
      <c r="V104" s="14">
        <f t="shared" si="58"/>
        <v>0.94180263809523812</v>
      </c>
      <c r="W104" s="96">
        <f>+W106+W107+W108</f>
        <v>3955571.08</v>
      </c>
      <c r="X104" s="97">
        <f>+W104/D104</f>
        <v>0.94180263809523812</v>
      </c>
    </row>
    <row r="105" spans="1:32" s="37" customFormat="1" ht="15.75">
      <c r="A105" s="36"/>
      <c r="B105" s="69" t="s">
        <v>288</v>
      </c>
      <c r="C105" s="70" t="s">
        <v>289</v>
      </c>
      <c r="D105" s="76">
        <v>30000</v>
      </c>
      <c r="E105" s="17">
        <f t="shared" ref="E105" si="71">+D105/12</f>
        <v>2500</v>
      </c>
      <c r="F105" s="17">
        <v>39199.980000000003</v>
      </c>
      <c r="G105" s="17">
        <v>150775.96</v>
      </c>
      <c r="H105" s="17">
        <v>51849.2</v>
      </c>
      <c r="I105" s="17"/>
      <c r="J105" s="17">
        <v>87000.03</v>
      </c>
      <c r="K105" s="17"/>
      <c r="L105" s="17">
        <v>142005.1</v>
      </c>
      <c r="M105" s="17">
        <v>31594.5</v>
      </c>
      <c r="N105" s="17"/>
      <c r="O105" s="17"/>
      <c r="P105" s="17"/>
      <c r="Q105" s="83">
        <v>0</v>
      </c>
      <c r="R105" s="122">
        <v>531</v>
      </c>
      <c r="S105" s="18">
        <f t="shared" si="60"/>
        <v>531</v>
      </c>
      <c r="T105" s="19">
        <f t="shared" si="57"/>
        <v>1.77E-2</v>
      </c>
      <c r="U105" s="20">
        <f>+D105-S105</f>
        <v>29469</v>
      </c>
      <c r="V105" s="21">
        <f t="shared" si="58"/>
        <v>0.98229999999999995</v>
      </c>
      <c r="W105" s="18">
        <f t="shared" ref="W105:W108" si="72">+D105-S105</f>
        <v>29469</v>
      </c>
      <c r="X105" s="19">
        <f t="shared" ref="X105:X108" si="73">+W105/D105</f>
        <v>0.98229999999999995</v>
      </c>
    </row>
    <row r="106" spans="1:32" s="3" customFormat="1" ht="15.75">
      <c r="A106" s="5"/>
      <c r="B106" s="69" t="s">
        <v>223</v>
      </c>
      <c r="C106" s="70" t="s">
        <v>108</v>
      </c>
      <c r="D106" s="76">
        <v>3200000</v>
      </c>
      <c r="E106" s="17">
        <f t="shared" si="59"/>
        <v>266666.66666666669</v>
      </c>
      <c r="F106" s="17">
        <v>39199.980000000003</v>
      </c>
      <c r="G106" s="17">
        <v>150775.96</v>
      </c>
      <c r="H106" s="17">
        <v>51849.2</v>
      </c>
      <c r="I106" s="17"/>
      <c r="J106" s="17">
        <v>87000.03</v>
      </c>
      <c r="K106" s="17"/>
      <c r="L106" s="17">
        <v>142005.1</v>
      </c>
      <c r="M106" s="17">
        <v>31594.5</v>
      </c>
      <c r="N106" s="17"/>
      <c r="O106" s="17"/>
      <c r="P106" s="17"/>
      <c r="Q106" s="83">
        <v>33394</v>
      </c>
      <c r="R106" s="122">
        <v>0</v>
      </c>
      <c r="S106" s="18">
        <f t="shared" si="60"/>
        <v>33394</v>
      </c>
      <c r="T106" s="19">
        <f t="shared" si="57"/>
        <v>1.0435625E-2</v>
      </c>
      <c r="U106" s="20">
        <f>+D106-S106</f>
        <v>3166606</v>
      </c>
      <c r="V106" s="21">
        <f t="shared" si="58"/>
        <v>0.98956437500000005</v>
      </c>
      <c r="W106" s="18">
        <f t="shared" si="72"/>
        <v>3166606</v>
      </c>
      <c r="X106" s="19">
        <f t="shared" si="73"/>
        <v>0.98956437500000005</v>
      </c>
      <c r="AF106" s="4"/>
    </row>
    <row r="107" spans="1:32" s="3" customFormat="1" ht="15.75">
      <c r="A107" s="5"/>
      <c r="B107" s="69" t="s">
        <v>224</v>
      </c>
      <c r="C107" s="70" t="s">
        <v>225</v>
      </c>
      <c r="D107" s="76">
        <v>100000</v>
      </c>
      <c r="E107" s="17">
        <f t="shared" si="59"/>
        <v>8333.3333333333339</v>
      </c>
      <c r="F107" s="17"/>
      <c r="G107" s="17">
        <v>1404.2</v>
      </c>
      <c r="H107" s="17">
        <v>4542.7</v>
      </c>
      <c r="I107" s="17">
        <v>3000</v>
      </c>
      <c r="J107" s="17"/>
      <c r="K107" s="17">
        <v>25635.5</v>
      </c>
      <c r="L107" s="17">
        <v>9817.6</v>
      </c>
      <c r="M107" s="17">
        <v>1463.5</v>
      </c>
      <c r="N107" s="17">
        <v>1645</v>
      </c>
      <c r="O107" s="17">
        <f>2250+449.98</f>
        <v>2699.98</v>
      </c>
      <c r="P107" s="17">
        <v>3295</v>
      </c>
      <c r="Q107" s="83">
        <v>0</v>
      </c>
      <c r="R107" s="122">
        <v>1121</v>
      </c>
      <c r="S107" s="18">
        <f t="shared" si="60"/>
        <v>1121</v>
      </c>
      <c r="T107" s="19">
        <f t="shared" si="57"/>
        <v>1.1209999999999999E-2</v>
      </c>
      <c r="U107" s="20">
        <f>+D107-S107</f>
        <v>98879</v>
      </c>
      <c r="V107" s="21">
        <f t="shared" si="58"/>
        <v>0.98878999999999995</v>
      </c>
      <c r="W107" s="18">
        <f t="shared" si="72"/>
        <v>98879</v>
      </c>
      <c r="X107" s="19">
        <f t="shared" si="73"/>
        <v>0.98878999999999995</v>
      </c>
      <c r="AF107" s="4"/>
    </row>
    <row r="108" spans="1:32" s="3" customFormat="1" ht="15.75">
      <c r="A108" s="5"/>
      <c r="B108" s="69" t="s">
        <v>226</v>
      </c>
      <c r="C108" s="70" t="s">
        <v>109</v>
      </c>
      <c r="D108" s="76">
        <v>900000</v>
      </c>
      <c r="E108" s="17">
        <f t="shared" si="59"/>
        <v>75000</v>
      </c>
      <c r="F108" s="17">
        <v>329286.46000000002</v>
      </c>
      <c r="G108" s="17">
        <v>15030.72</v>
      </c>
      <c r="H108" s="17">
        <v>272715.24</v>
      </c>
      <c r="I108" s="17">
        <v>13852.99</v>
      </c>
      <c r="J108" s="17">
        <v>16690.599999999999</v>
      </c>
      <c r="K108" s="17">
        <v>2512.4499999999998</v>
      </c>
      <c r="L108" s="17">
        <v>26479.86</v>
      </c>
      <c r="M108" s="17">
        <v>47618.36</v>
      </c>
      <c r="N108" s="17">
        <v>6864.46</v>
      </c>
      <c r="O108" s="17">
        <v>312458.7</v>
      </c>
      <c r="P108" s="17">
        <v>4701.37</v>
      </c>
      <c r="Q108" s="83">
        <v>206495.64</v>
      </c>
      <c r="R108" s="122">
        <v>3418.28</v>
      </c>
      <c r="S108" s="18">
        <f t="shared" si="60"/>
        <v>209913.92</v>
      </c>
      <c r="T108" s="19">
        <f t="shared" si="57"/>
        <v>0.23323768888888891</v>
      </c>
      <c r="U108" s="20">
        <f>+D108-S108</f>
        <v>690086.08</v>
      </c>
      <c r="V108" s="21">
        <f t="shared" si="58"/>
        <v>0.76676231111111104</v>
      </c>
      <c r="W108" s="18">
        <f t="shared" si="72"/>
        <v>690086.08</v>
      </c>
      <c r="X108" s="19">
        <f t="shared" si="73"/>
        <v>0.76676231111111104</v>
      </c>
      <c r="AF108" s="4"/>
    </row>
    <row r="109" spans="1:32" s="37" customFormat="1">
      <c r="A109" s="36"/>
      <c r="B109" s="88" t="s">
        <v>110</v>
      </c>
      <c r="C109" s="24" t="s">
        <v>111</v>
      </c>
      <c r="D109" s="9">
        <f t="shared" ref="D109:P109" si="74">SUM(D110:D117)</f>
        <v>983000</v>
      </c>
      <c r="E109" s="9">
        <f>SUM(E110:E117)</f>
        <v>81916.666666666657</v>
      </c>
      <c r="F109" s="10">
        <f t="shared" si="74"/>
        <v>34952</v>
      </c>
      <c r="G109" s="10">
        <f t="shared" si="74"/>
        <v>126980.98000000001</v>
      </c>
      <c r="H109" s="10">
        <f t="shared" si="74"/>
        <v>111979.63</v>
      </c>
      <c r="I109" s="10">
        <f t="shared" si="74"/>
        <v>89498.27</v>
      </c>
      <c r="J109" s="10">
        <f t="shared" si="74"/>
        <v>1079590.06</v>
      </c>
      <c r="K109" s="10">
        <f t="shared" si="74"/>
        <v>186195.66</v>
      </c>
      <c r="L109" s="10">
        <f t="shared" si="74"/>
        <v>151296.70000000001</v>
      </c>
      <c r="M109" s="10">
        <f t="shared" si="74"/>
        <v>326416.49000000005</v>
      </c>
      <c r="N109" s="10">
        <f>SUM(N110:N117)</f>
        <v>803307.96</v>
      </c>
      <c r="O109" s="10">
        <f>SUM(O110:O117)</f>
        <v>1542749.6300000001</v>
      </c>
      <c r="P109" s="10">
        <f t="shared" si="74"/>
        <v>830480.29</v>
      </c>
      <c r="Q109" s="10">
        <f>SUM(Q110:Q117)</f>
        <v>173763.25</v>
      </c>
      <c r="R109" s="121">
        <f>+R110+R111+R112+R113+R114+R117</f>
        <v>82988.469999999987</v>
      </c>
      <c r="S109" s="11">
        <f>SUM(S110:S117)</f>
        <v>256751.72</v>
      </c>
      <c r="T109" s="12">
        <f t="shared" si="57"/>
        <v>0.26119198372329605</v>
      </c>
      <c r="U109" s="13">
        <f t="shared" si="61"/>
        <v>726248.28</v>
      </c>
      <c r="V109" s="14">
        <f t="shared" si="58"/>
        <v>0.738808016276704</v>
      </c>
      <c r="W109" s="96">
        <f>SUM(W110:W117)</f>
        <v>726248.28</v>
      </c>
      <c r="X109" s="97">
        <f>+W109/D109</f>
        <v>0.738808016276704</v>
      </c>
    </row>
    <row r="110" spans="1:32" s="3" customFormat="1" ht="15.75">
      <c r="A110" s="5"/>
      <c r="B110" s="69" t="s">
        <v>227</v>
      </c>
      <c r="C110" s="70" t="s">
        <v>112</v>
      </c>
      <c r="D110" s="78">
        <f>80000+100000</f>
        <v>180000</v>
      </c>
      <c r="E110" s="17">
        <f t="shared" si="59"/>
        <v>15000</v>
      </c>
      <c r="F110" s="17">
        <v>89.99</v>
      </c>
      <c r="G110" s="17">
        <v>520</v>
      </c>
      <c r="H110" s="17"/>
      <c r="I110" s="17">
        <v>1202</v>
      </c>
      <c r="J110" s="17">
        <v>412152.72</v>
      </c>
      <c r="K110" s="17"/>
      <c r="L110" s="17"/>
      <c r="M110" s="17">
        <v>52270.01</v>
      </c>
      <c r="N110" s="17"/>
      <c r="O110" s="17">
        <v>842369.37</v>
      </c>
      <c r="P110" s="17"/>
      <c r="Q110" s="83">
        <v>115823.55</v>
      </c>
      <c r="R110" s="122">
        <v>0</v>
      </c>
      <c r="S110" s="18">
        <f t="shared" si="60"/>
        <v>115823.55</v>
      </c>
      <c r="T110" s="19">
        <f t="shared" si="57"/>
        <v>0.64346416666666673</v>
      </c>
      <c r="U110" s="20">
        <f>+D110-S110</f>
        <v>64176.45</v>
      </c>
      <c r="V110" s="21">
        <f t="shared" si="58"/>
        <v>0.35653583333333333</v>
      </c>
      <c r="W110" s="18">
        <f t="shared" ref="W110:W117" si="75">+D110-S110</f>
        <v>64176.45</v>
      </c>
      <c r="X110" s="19">
        <f t="shared" ref="X110:X117" si="76">+W110/D110</f>
        <v>0.35653583333333333</v>
      </c>
      <c r="AF110" s="4"/>
    </row>
    <row r="111" spans="1:32" s="3" customFormat="1" ht="15.75">
      <c r="A111" s="5"/>
      <c r="B111" s="69" t="s">
        <v>228</v>
      </c>
      <c r="C111" s="70" t="s">
        <v>113</v>
      </c>
      <c r="D111" s="78">
        <v>35000</v>
      </c>
      <c r="E111" s="17">
        <f t="shared" si="59"/>
        <v>2916.6666666666665</v>
      </c>
      <c r="F111" s="17"/>
      <c r="G111" s="17">
        <f>6395.6+66864.7</f>
        <v>73260.3</v>
      </c>
      <c r="H111" s="17">
        <v>6844</v>
      </c>
      <c r="I111" s="17">
        <f>397.99+8940.06+34964.7</f>
        <v>44302.75</v>
      </c>
      <c r="J111" s="17">
        <v>41404.03</v>
      </c>
      <c r="K111" s="17">
        <v>24190</v>
      </c>
      <c r="L111" s="17"/>
      <c r="M111" s="17">
        <v>62628.91</v>
      </c>
      <c r="N111" s="17"/>
      <c r="O111" s="17">
        <v>9999.91</v>
      </c>
      <c r="P111" s="17"/>
      <c r="Q111" s="83">
        <v>979.82</v>
      </c>
      <c r="R111" s="122">
        <v>0</v>
      </c>
      <c r="S111" s="18">
        <f t="shared" si="60"/>
        <v>979.82</v>
      </c>
      <c r="T111" s="19">
        <f t="shared" si="57"/>
        <v>2.7994857142857144E-2</v>
      </c>
      <c r="U111" s="20">
        <f t="shared" ref="U111:U117" si="77">+D111-S111</f>
        <v>34020.18</v>
      </c>
      <c r="V111" s="21">
        <f t="shared" si="58"/>
        <v>0.9720051428571429</v>
      </c>
      <c r="W111" s="18">
        <f t="shared" si="75"/>
        <v>34020.18</v>
      </c>
      <c r="X111" s="19">
        <f t="shared" si="76"/>
        <v>0.9720051428571429</v>
      </c>
      <c r="AF111" s="4"/>
    </row>
    <row r="112" spans="1:32" s="3" customFormat="1" ht="15.75">
      <c r="A112" s="5"/>
      <c r="B112" s="69" t="s">
        <v>229</v>
      </c>
      <c r="C112" s="70" t="s">
        <v>114</v>
      </c>
      <c r="D112" s="78">
        <v>150000</v>
      </c>
      <c r="E112" s="17">
        <f t="shared" si="59"/>
        <v>12500</v>
      </c>
      <c r="F112" s="17"/>
      <c r="G112" s="17"/>
      <c r="H112" s="17"/>
      <c r="I112" s="17">
        <v>2250.3000000000002</v>
      </c>
      <c r="J112" s="17"/>
      <c r="K112" s="17"/>
      <c r="L112" s="17"/>
      <c r="M112" s="17">
        <v>2085.02</v>
      </c>
      <c r="N112" s="17"/>
      <c r="O112" s="17">
        <v>147446.66</v>
      </c>
      <c r="P112" s="17"/>
      <c r="Q112" s="83">
        <v>0</v>
      </c>
      <c r="R112" s="122">
        <v>0</v>
      </c>
      <c r="S112" s="18">
        <f t="shared" si="60"/>
        <v>0</v>
      </c>
      <c r="T112" s="19">
        <f t="shared" si="57"/>
        <v>0</v>
      </c>
      <c r="U112" s="20">
        <f t="shared" si="77"/>
        <v>150000</v>
      </c>
      <c r="V112" s="21">
        <f t="shared" si="58"/>
        <v>1</v>
      </c>
      <c r="W112" s="18">
        <f t="shared" si="75"/>
        <v>150000</v>
      </c>
      <c r="X112" s="19">
        <f t="shared" si="76"/>
        <v>1</v>
      </c>
      <c r="AF112" s="4"/>
    </row>
    <row r="113" spans="1:32" s="3" customFormat="1" ht="15.75">
      <c r="A113" s="5"/>
      <c r="B113" s="69" t="s">
        <v>230</v>
      </c>
      <c r="C113" s="70" t="s">
        <v>115</v>
      </c>
      <c r="D113" s="78">
        <v>18000</v>
      </c>
      <c r="E113" s="17">
        <f t="shared" si="59"/>
        <v>1500</v>
      </c>
      <c r="F113" s="17"/>
      <c r="G113" s="17"/>
      <c r="H113" s="17">
        <v>28320</v>
      </c>
      <c r="I113" s="17"/>
      <c r="J113" s="17"/>
      <c r="K113" s="17"/>
      <c r="L113" s="17">
        <v>9440</v>
      </c>
      <c r="M113" s="17"/>
      <c r="N113" s="17"/>
      <c r="O113" s="17">
        <v>3835</v>
      </c>
      <c r="P113" s="17"/>
      <c r="Q113" s="83">
        <v>0</v>
      </c>
      <c r="R113" s="122">
        <v>0</v>
      </c>
      <c r="S113" s="18">
        <f t="shared" si="60"/>
        <v>0</v>
      </c>
      <c r="T113" s="19">
        <f t="shared" si="57"/>
        <v>0</v>
      </c>
      <c r="U113" s="20">
        <f t="shared" si="77"/>
        <v>18000</v>
      </c>
      <c r="V113" s="21">
        <f t="shared" si="58"/>
        <v>1</v>
      </c>
      <c r="W113" s="18">
        <f t="shared" si="75"/>
        <v>18000</v>
      </c>
      <c r="X113" s="19">
        <f t="shared" si="76"/>
        <v>1</v>
      </c>
    </row>
    <row r="114" spans="1:32" s="3" customFormat="1" ht="15.75">
      <c r="A114" s="5"/>
      <c r="B114" s="69" t="s">
        <v>231</v>
      </c>
      <c r="C114" s="70" t="s">
        <v>116</v>
      </c>
      <c r="D114" s="78">
        <v>500000</v>
      </c>
      <c r="E114" s="17">
        <f t="shared" si="59"/>
        <v>41666.666666666664</v>
      </c>
      <c r="F114" s="17">
        <v>34862.01</v>
      </c>
      <c r="G114" s="17">
        <v>53200.68</v>
      </c>
      <c r="H114" s="17">
        <v>74715.63</v>
      </c>
      <c r="I114" s="17">
        <v>41743.22</v>
      </c>
      <c r="J114" s="17">
        <v>555183.31000000006</v>
      </c>
      <c r="K114" s="17">
        <v>162005.66</v>
      </c>
      <c r="L114" s="17">
        <v>141856.70000000001</v>
      </c>
      <c r="M114" s="17">
        <v>204040.35</v>
      </c>
      <c r="N114" s="17">
        <v>803307.96</v>
      </c>
      <c r="O114" s="17">
        <v>503148.69</v>
      </c>
      <c r="P114" s="17">
        <v>782480.29</v>
      </c>
      <c r="Q114" s="83">
        <f>51026.67+1803.21</f>
        <v>52829.88</v>
      </c>
      <c r="R114" s="122">
        <f>80534.2+95.01+2080.36</f>
        <v>82709.569999999992</v>
      </c>
      <c r="S114" s="18">
        <f t="shared" si="60"/>
        <v>135539.44999999998</v>
      </c>
      <c r="T114" s="19">
        <f t="shared" si="57"/>
        <v>0.27107889999999996</v>
      </c>
      <c r="U114" s="20">
        <f t="shared" si="77"/>
        <v>364460.55000000005</v>
      </c>
      <c r="V114" s="21">
        <f t="shared" si="58"/>
        <v>0.7289211000000001</v>
      </c>
      <c r="W114" s="18">
        <f t="shared" si="75"/>
        <v>364460.55000000005</v>
      </c>
      <c r="X114" s="19">
        <f t="shared" si="76"/>
        <v>0.7289211000000001</v>
      </c>
    </row>
    <row r="115" spans="1:32" s="3" customFormat="1" ht="15.75" hidden="1">
      <c r="A115" s="5"/>
      <c r="B115" s="69" t="s">
        <v>117</v>
      </c>
      <c r="C115" s="70" t="s">
        <v>118</v>
      </c>
      <c r="D115" s="78">
        <v>0</v>
      </c>
      <c r="E115" s="17">
        <f t="shared" si="59"/>
        <v>0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83"/>
      <c r="R115" s="122"/>
      <c r="S115" s="18">
        <f t="shared" si="60"/>
        <v>0</v>
      </c>
      <c r="T115" s="19" t="e">
        <f t="shared" si="57"/>
        <v>#DIV/0!</v>
      </c>
      <c r="U115" s="20">
        <f t="shared" si="77"/>
        <v>0</v>
      </c>
      <c r="V115" s="21" t="e">
        <f t="shared" si="58"/>
        <v>#DIV/0!</v>
      </c>
      <c r="W115" s="18">
        <f t="shared" si="75"/>
        <v>0</v>
      </c>
      <c r="X115" s="19" t="e">
        <f t="shared" si="76"/>
        <v>#DIV/0!</v>
      </c>
    </row>
    <row r="116" spans="1:32" s="3" customFormat="1" ht="15.75" hidden="1">
      <c r="A116" s="5"/>
      <c r="B116" s="69" t="s">
        <v>119</v>
      </c>
      <c r="C116" s="70" t="s">
        <v>120</v>
      </c>
      <c r="D116" s="78">
        <v>0</v>
      </c>
      <c r="E116" s="17">
        <f t="shared" si="59"/>
        <v>0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83"/>
      <c r="R116" s="122"/>
      <c r="S116" s="18">
        <f t="shared" si="60"/>
        <v>0</v>
      </c>
      <c r="T116" s="19" t="e">
        <f t="shared" si="57"/>
        <v>#DIV/0!</v>
      </c>
      <c r="U116" s="20">
        <f t="shared" si="77"/>
        <v>0</v>
      </c>
      <c r="V116" s="21" t="e">
        <f t="shared" si="58"/>
        <v>#DIV/0!</v>
      </c>
      <c r="W116" s="18">
        <f t="shared" si="75"/>
        <v>0</v>
      </c>
      <c r="X116" s="19" t="e">
        <f t="shared" si="76"/>
        <v>#DIV/0!</v>
      </c>
    </row>
    <row r="117" spans="1:32" s="3" customFormat="1" ht="15.75">
      <c r="A117" s="5"/>
      <c r="B117" s="69" t="s">
        <v>232</v>
      </c>
      <c r="C117" s="70" t="s">
        <v>121</v>
      </c>
      <c r="D117" s="78">
        <v>100000</v>
      </c>
      <c r="E117" s="17">
        <f t="shared" si="59"/>
        <v>8333.3333333333339</v>
      </c>
      <c r="F117" s="17"/>
      <c r="G117" s="17"/>
      <c r="H117" s="17">
        <v>2100</v>
      </c>
      <c r="I117" s="17"/>
      <c r="J117" s="17">
        <v>70850</v>
      </c>
      <c r="K117" s="17"/>
      <c r="L117" s="17"/>
      <c r="M117" s="17">
        <f>613.2+4779</f>
        <v>5392.2</v>
      </c>
      <c r="N117" s="17"/>
      <c r="O117" s="17">
        <v>35950</v>
      </c>
      <c r="P117" s="17">
        <v>48000</v>
      </c>
      <c r="Q117" s="83">
        <v>4130</v>
      </c>
      <c r="R117" s="122">
        <v>278.89999999999998</v>
      </c>
      <c r="S117" s="18">
        <f t="shared" si="60"/>
        <v>4408.8999999999996</v>
      </c>
      <c r="T117" s="19">
        <f t="shared" si="57"/>
        <v>4.4088999999999996E-2</v>
      </c>
      <c r="U117" s="20">
        <f t="shared" si="77"/>
        <v>95591.1</v>
      </c>
      <c r="V117" s="21">
        <f t="shared" si="58"/>
        <v>0.95591100000000007</v>
      </c>
      <c r="W117" s="18">
        <f t="shared" si="75"/>
        <v>95591.1</v>
      </c>
      <c r="X117" s="19">
        <f t="shared" si="76"/>
        <v>0.95591100000000007</v>
      </c>
    </row>
    <row r="118" spans="1:32" s="3" customFormat="1" hidden="1">
      <c r="A118" s="5"/>
      <c r="B118" s="89" t="s">
        <v>122</v>
      </c>
      <c r="C118" s="15" t="s">
        <v>123</v>
      </c>
      <c r="D118" s="41">
        <v>0</v>
      </c>
      <c r="E118" s="17">
        <v>0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26"/>
      <c r="S118" s="26"/>
      <c r="T118" s="26"/>
      <c r="U118" s="41">
        <v>0</v>
      </c>
      <c r="V118" s="41"/>
      <c r="W118" s="26"/>
      <c r="X118" s="26"/>
    </row>
    <row r="119" spans="1:32" s="37" customFormat="1">
      <c r="A119" s="36"/>
      <c r="B119" s="88" t="s">
        <v>124</v>
      </c>
      <c r="C119" s="24" t="s">
        <v>125</v>
      </c>
      <c r="D119" s="9">
        <f t="shared" ref="D119:P119" si="78">SUM(D120:D129)</f>
        <v>36182000</v>
      </c>
      <c r="E119" s="9">
        <f>SUM(E120:E129)</f>
        <v>3015166.666666667</v>
      </c>
      <c r="F119" s="10">
        <f t="shared" si="78"/>
        <v>3710521.47</v>
      </c>
      <c r="G119" s="10">
        <f t="shared" si="78"/>
        <v>2503005</v>
      </c>
      <c r="H119" s="10">
        <f t="shared" si="78"/>
        <v>3113172.1500000004</v>
      </c>
      <c r="I119" s="10">
        <f t="shared" si="78"/>
        <v>3181706.6900000004</v>
      </c>
      <c r="J119" s="10">
        <f t="shared" si="78"/>
        <v>4076066.84</v>
      </c>
      <c r="K119" s="10">
        <f t="shared" si="78"/>
        <v>2941358.8200000003</v>
      </c>
      <c r="L119" s="10">
        <f t="shared" si="78"/>
        <v>5189816.0900000008</v>
      </c>
      <c r="M119" s="10">
        <f t="shared" si="78"/>
        <v>4305803.0200000005</v>
      </c>
      <c r="N119" s="10">
        <f>SUM(N120:N129)</f>
        <v>1518101.39</v>
      </c>
      <c r="O119" s="10">
        <f>SUM(O120:O129)</f>
        <v>4224946.6000000006</v>
      </c>
      <c r="P119" s="10">
        <f t="shared" si="78"/>
        <v>2754687.01</v>
      </c>
      <c r="Q119" s="10">
        <f>SUM(Q120:Q129)</f>
        <v>1807352.5199999998</v>
      </c>
      <c r="R119" s="121">
        <f>SUM(R120:R129)</f>
        <v>634778.56000000006</v>
      </c>
      <c r="S119" s="11">
        <f>+S120+S121+S122+S124+S126+S129</f>
        <v>2441951.1299999994</v>
      </c>
      <c r="T119" s="12">
        <f t="shared" ref="T119:T135" si="79">+S119/D119</f>
        <v>6.7490772483555339E-2</v>
      </c>
      <c r="U119" s="13">
        <f t="shared" ref="U119:U135" si="80">+D119-S119</f>
        <v>33740048.869999997</v>
      </c>
      <c r="V119" s="14">
        <f t="shared" ref="V119:V135" si="81">+U119/D119</f>
        <v>0.93250922751644461</v>
      </c>
      <c r="W119" s="96">
        <f>+W120+W121+W122+W124+W126+W129</f>
        <v>33608048.869999997</v>
      </c>
      <c r="X119" s="97">
        <f>+W119/D119</f>
        <v>0.92886100464319266</v>
      </c>
    </row>
    <row r="120" spans="1:32" s="3" customFormat="1" ht="15.75">
      <c r="A120" s="5"/>
      <c r="B120" s="73" t="s">
        <v>233</v>
      </c>
      <c r="C120" s="74" t="s">
        <v>126</v>
      </c>
      <c r="D120" s="76">
        <v>28000000</v>
      </c>
      <c r="E120" s="17">
        <f t="shared" ref="E120:E135" si="82">+D120/12</f>
        <v>2333333.3333333335</v>
      </c>
      <c r="F120" s="17">
        <f>2000+2724195.83</f>
        <v>2726195.83</v>
      </c>
      <c r="G120" s="17">
        <f>2000+1741600</f>
        <v>1743600</v>
      </c>
      <c r="H120" s="17">
        <f>2000+2169521.87</f>
        <v>2171521.87</v>
      </c>
      <c r="I120" s="17">
        <f>2000+2426646.88</f>
        <v>2428646.88</v>
      </c>
      <c r="J120" s="17">
        <f>2000+1595997.32+120296</f>
        <v>1718293.32</v>
      </c>
      <c r="K120" s="17">
        <f>2000+2067479.32</f>
        <v>2069479.32</v>
      </c>
      <c r="L120" s="17">
        <f>2000+4520485.43+121245.15</f>
        <v>4643730.58</v>
      </c>
      <c r="M120" s="17">
        <f>3237716.71+99756.39</f>
        <v>3337473.1</v>
      </c>
      <c r="N120" s="17">
        <v>1132305.74</v>
      </c>
      <c r="O120" s="17">
        <f>2244686.22+96660.4</f>
        <v>2341346.62</v>
      </c>
      <c r="P120" s="17">
        <f>1139770.04+7989.37</f>
        <v>1147759.4100000001</v>
      </c>
      <c r="Q120" s="83">
        <v>1100185.21</v>
      </c>
      <c r="R120" s="122">
        <v>206431.16</v>
      </c>
      <c r="S120" s="18">
        <f t="shared" ref="S120:S128" si="83">+Q120+R120</f>
        <v>1306616.3699999999</v>
      </c>
      <c r="T120" s="19">
        <f t="shared" si="79"/>
        <v>4.6664870357142854E-2</v>
      </c>
      <c r="U120" s="20">
        <f t="shared" si="80"/>
        <v>26693383.629999999</v>
      </c>
      <c r="V120" s="21">
        <f t="shared" si="81"/>
        <v>0.95333512964285716</v>
      </c>
      <c r="W120" s="18">
        <f t="shared" ref="W120:W128" si="84">+D120-S120</f>
        <v>26693383.629999999</v>
      </c>
      <c r="X120" s="19">
        <f t="shared" ref="X120:X129" si="85">+W120/D120</f>
        <v>0.95333512964285716</v>
      </c>
    </row>
    <row r="121" spans="1:32" s="3" customFormat="1" ht="15.75">
      <c r="A121" s="5"/>
      <c r="B121" s="73" t="s">
        <v>234</v>
      </c>
      <c r="C121" s="74" t="s">
        <v>127</v>
      </c>
      <c r="D121" s="76">
        <v>5000000</v>
      </c>
      <c r="E121" s="17">
        <f t="shared" si="82"/>
        <v>416666.66666666669</v>
      </c>
      <c r="F121" s="17">
        <v>818844.79</v>
      </c>
      <c r="G121" s="17">
        <v>522000</v>
      </c>
      <c r="H121" s="17">
        <v>724069.2</v>
      </c>
      <c r="I121" s="17">
        <v>530058.6</v>
      </c>
      <c r="J121" s="17">
        <v>872946.65</v>
      </c>
      <c r="K121" s="17">
        <v>694249.15</v>
      </c>
      <c r="L121" s="17">
        <v>282960.78000000003</v>
      </c>
      <c r="M121" s="17">
        <v>559580.89</v>
      </c>
      <c r="N121" s="17">
        <v>270838.67</v>
      </c>
      <c r="O121" s="17">
        <v>926029.93</v>
      </c>
      <c r="P121" s="17">
        <v>466856.25</v>
      </c>
      <c r="Q121" s="83">
        <v>567875.99</v>
      </c>
      <c r="R121" s="122">
        <v>257788.95</v>
      </c>
      <c r="S121" s="18">
        <f t="shared" si="83"/>
        <v>825664.94</v>
      </c>
      <c r="T121" s="19">
        <f t="shared" si="79"/>
        <v>0.16513298799999998</v>
      </c>
      <c r="U121" s="20">
        <f t="shared" si="80"/>
        <v>4174335.06</v>
      </c>
      <c r="V121" s="21">
        <f t="shared" si="81"/>
        <v>0.83486701200000002</v>
      </c>
      <c r="W121" s="18">
        <f t="shared" si="84"/>
        <v>4174335.06</v>
      </c>
      <c r="X121" s="19">
        <f t="shared" si="85"/>
        <v>0.83486701200000002</v>
      </c>
    </row>
    <row r="122" spans="1:32" s="22" customFormat="1" ht="15.75">
      <c r="A122" s="5"/>
      <c r="B122" s="73" t="s">
        <v>235</v>
      </c>
      <c r="C122" s="74" t="s">
        <v>128</v>
      </c>
      <c r="D122" s="76">
        <v>700000</v>
      </c>
      <c r="E122" s="17">
        <f t="shared" si="82"/>
        <v>58333.333333333336</v>
      </c>
      <c r="F122" s="17">
        <v>100989.67</v>
      </c>
      <c r="G122" s="17">
        <v>70361.5</v>
      </c>
      <c r="H122" s="17">
        <v>105489</v>
      </c>
      <c r="I122" s="17">
        <v>147046.29999999999</v>
      </c>
      <c r="J122" s="17">
        <v>100441.3</v>
      </c>
      <c r="K122" s="17">
        <v>103743.6</v>
      </c>
      <c r="L122" s="17">
        <v>118715.2</v>
      </c>
      <c r="M122" s="17">
        <v>121562.62</v>
      </c>
      <c r="N122" s="17">
        <v>57080.2</v>
      </c>
      <c r="O122" s="17">
        <v>174726.23</v>
      </c>
      <c r="P122" s="17">
        <v>8992.9</v>
      </c>
      <c r="Q122" s="83">
        <v>0</v>
      </c>
      <c r="R122" s="122">
        <v>95658</v>
      </c>
      <c r="S122" s="18">
        <f t="shared" si="83"/>
        <v>95658</v>
      </c>
      <c r="T122" s="19">
        <f t="shared" si="79"/>
        <v>0.13665428571428573</v>
      </c>
      <c r="U122" s="20">
        <f t="shared" si="80"/>
        <v>604342</v>
      </c>
      <c r="V122" s="21">
        <f t="shared" si="81"/>
        <v>0.86334571428571427</v>
      </c>
      <c r="W122" s="18">
        <f t="shared" si="84"/>
        <v>604342</v>
      </c>
      <c r="X122" s="19">
        <f t="shared" si="85"/>
        <v>0.86334571428571427</v>
      </c>
      <c r="Y122" s="3"/>
      <c r="Z122" s="3"/>
      <c r="AA122" s="3"/>
      <c r="AB122" s="3"/>
      <c r="AC122" s="3"/>
      <c r="AD122" s="3"/>
      <c r="AE122" s="3"/>
      <c r="AF122" s="3"/>
    </row>
    <row r="123" spans="1:32" s="22" customFormat="1" ht="15.75" hidden="1">
      <c r="A123" s="5"/>
      <c r="B123" s="73" t="s">
        <v>129</v>
      </c>
      <c r="C123" s="74" t="s">
        <v>130</v>
      </c>
      <c r="D123" s="79"/>
      <c r="E123" s="17">
        <f t="shared" si="82"/>
        <v>0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83"/>
      <c r="R123" s="122"/>
      <c r="S123" s="18">
        <f t="shared" si="83"/>
        <v>0</v>
      </c>
      <c r="T123" s="19" t="e">
        <f t="shared" si="79"/>
        <v>#DIV/0!</v>
      </c>
      <c r="U123" s="20">
        <f t="shared" si="80"/>
        <v>0</v>
      </c>
      <c r="V123" s="21" t="e">
        <f t="shared" si="81"/>
        <v>#DIV/0!</v>
      </c>
      <c r="W123" s="18">
        <f t="shared" si="84"/>
        <v>0</v>
      </c>
      <c r="X123" s="19" t="e">
        <f t="shared" si="85"/>
        <v>#DIV/0!</v>
      </c>
      <c r="Y123" s="3"/>
      <c r="Z123" s="3"/>
      <c r="AA123" s="3"/>
      <c r="AB123" s="3"/>
      <c r="AC123" s="3"/>
      <c r="AD123" s="3"/>
      <c r="AE123" s="3"/>
      <c r="AF123" s="3"/>
    </row>
    <row r="124" spans="1:32" s="22" customFormat="1" ht="15.75">
      <c r="A124" s="5"/>
      <c r="B124" s="73" t="s">
        <v>236</v>
      </c>
      <c r="C124" s="74" t="s">
        <v>131</v>
      </c>
      <c r="D124" s="76">
        <v>1500000</v>
      </c>
      <c r="E124" s="17">
        <f t="shared" si="82"/>
        <v>125000</v>
      </c>
      <c r="F124" s="17">
        <f>54523.96+244.95</f>
        <v>54768.909999999996</v>
      </c>
      <c r="G124" s="17">
        <f>29736+105625.1</f>
        <v>135361.1</v>
      </c>
      <c r="H124" s="17">
        <f>2292.79+105704.29</f>
        <v>107997.07999999999</v>
      </c>
      <c r="I124" s="17">
        <v>54411.72</v>
      </c>
      <c r="J124" s="17">
        <f>885+166637.23</f>
        <v>167522.23000000001</v>
      </c>
      <c r="K124" s="17">
        <f>200+55834.83+7385.62</f>
        <v>63420.450000000004</v>
      </c>
      <c r="L124" s="17">
        <f>1380+102976.16</f>
        <v>104356.16</v>
      </c>
      <c r="M124" s="17">
        <v>177859.67</v>
      </c>
      <c r="N124" s="17">
        <f>56364.73+225</f>
        <v>56589.73</v>
      </c>
      <c r="O124" s="17">
        <v>163233.42000000001</v>
      </c>
      <c r="P124" s="17">
        <f>2353.05+55425.21</f>
        <v>57778.26</v>
      </c>
      <c r="Q124" s="83">
        <v>57581.68</v>
      </c>
      <c r="R124" s="122">
        <f>324.5+54823.43+3160</f>
        <v>58307.93</v>
      </c>
      <c r="S124" s="18">
        <f t="shared" si="83"/>
        <v>115889.61</v>
      </c>
      <c r="T124" s="19">
        <f t="shared" si="79"/>
        <v>7.7259740000000007E-2</v>
      </c>
      <c r="U124" s="20">
        <f t="shared" si="80"/>
        <v>1384110.39</v>
      </c>
      <c r="V124" s="21">
        <f t="shared" si="81"/>
        <v>0.92274025999999998</v>
      </c>
      <c r="W124" s="18">
        <f t="shared" si="84"/>
        <v>1384110.39</v>
      </c>
      <c r="X124" s="19">
        <f t="shared" si="85"/>
        <v>0.92274025999999998</v>
      </c>
      <c r="Y124" s="3"/>
      <c r="Z124" s="3"/>
      <c r="AA124" s="3"/>
      <c r="AB124" s="3"/>
      <c r="AC124" s="3"/>
      <c r="AD124" s="3"/>
      <c r="AE124" s="3"/>
      <c r="AF124" s="3"/>
    </row>
    <row r="125" spans="1:32" s="22" customFormat="1" ht="15.75" hidden="1">
      <c r="A125" s="5"/>
      <c r="B125" s="80" t="s">
        <v>132</v>
      </c>
      <c r="C125" s="74" t="s">
        <v>133</v>
      </c>
      <c r="D125" s="79"/>
      <c r="E125" s="17">
        <f t="shared" si="82"/>
        <v>0</v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83"/>
      <c r="R125" s="122"/>
      <c r="S125" s="18">
        <f t="shared" si="83"/>
        <v>0</v>
      </c>
      <c r="T125" s="19" t="e">
        <f t="shared" si="79"/>
        <v>#DIV/0!</v>
      </c>
      <c r="U125" s="20">
        <f t="shared" si="80"/>
        <v>0</v>
      </c>
      <c r="V125" s="21" t="e">
        <f t="shared" si="81"/>
        <v>#DIV/0!</v>
      </c>
      <c r="W125" s="18">
        <f t="shared" si="84"/>
        <v>0</v>
      </c>
      <c r="X125" s="19" t="e">
        <f t="shared" si="85"/>
        <v>#DIV/0!</v>
      </c>
      <c r="Y125" s="3"/>
      <c r="Z125" s="3"/>
      <c r="AA125" s="3"/>
      <c r="AB125" s="3"/>
      <c r="AC125" s="3"/>
      <c r="AD125" s="3"/>
      <c r="AE125" s="3"/>
      <c r="AF125" s="3"/>
    </row>
    <row r="126" spans="1:32" s="22" customFormat="1" ht="15.75">
      <c r="A126" s="5"/>
      <c r="B126" s="80" t="s">
        <v>237</v>
      </c>
      <c r="C126" s="74" t="s">
        <v>134</v>
      </c>
      <c r="D126" s="76">
        <v>300000</v>
      </c>
      <c r="E126" s="17">
        <f t="shared" si="82"/>
        <v>25000</v>
      </c>
      <c r="F126" s="17"/>
      <c r="G126" s="17"/>
      <c r="H126" s="17">
        <v>420</v>
      </c>
      <c r="I126" s="17">
        <f>297+294.99</f>
        <v>591.99</v>
      </c>
      <c r="J126" s="17"/>
      <c r="K126" s="17">
        <v>10466.299999999999</v>
      </c>
      <c r="L126" s="17">
        <v>1075.07</v>
      </c>
      <c r="M126" s="17"/>
      <c r="N126" s="17">
        <v>765.05</v>
      </c>
      <c r="O126" s="17"/>
      <c r="P126" s="17">
        <v>205</v>
      </c>
      <c r="Q126" s="83">
        <v>77897.7</v>
      </c>
      <c r="R126" s="122">
        <v>0</v>
      </c>
      <c r="S126" s="18">
        <f t="shared" si="83"/>
        <v>77897.7</v>
      </c>
      <c r="T126" s="19">
        <f t="shared" si="79"/>
        <v>0.25965899999999997</v>
      </c>
      <c r="U126" s="20">
        <f t="shared" si="80"/>
        <v>222102.3</v>
      </c>
      <c r="V126" s="21">
        <f t="shared" si="81"/>
        <v>0.74034099999999992</v>
      </c>
      <c r="W126" s="18">
        <f t="shared" si="84"/>
        <v>222102.3</v>
      </c>
      <c r="X126" s="19">
        <f t="shared" si="85"/>
        <v>0.74034099999999992</v>
      </c>
      <c r="Y126" s="3"/>
      <c r="Z126" s="3"/>
      <c r="AA126" s="3"/>
      <c r="AB126" s="3"/>
      <c r="AC126" s="3"/>
      <c r="AD126" s="3"/>
      <c r="AE126" s="3"/>
      <c r="AF126" s="3"/>
    </row>
    <row r="127" spans="1:32" s="22" customFormat="1" ht="15.75" hidden="1">
      <c r="A127" s="5"/>
      <c r="B127" s="80" t="s">
        <v>135</v>
      </c>
      <c r="C127" s="74" t="s">
        <v>136</v>
      </c>
      <c r="D127" s="79"/>
      <c r="E127" s="17">
        <f t="shared" si="82"/>
        <v>0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83"/>
      <c r="R127" s="122"/>
      <c r="S127" s="18">
        <f t="shared" si="83"/>
        <v>0</v>
      </c>
      <c r="T127" s="19" t="e">
        <f t="shared" si="79"/>
        <v>#DIV/0!</v>
      </c>
      <c r="U127" s="20">
        <f t="shared" si="80"/>
        <v>0</v>
      </c>
      <c r="V127" s="21" t="e">
        <f t="shared" si="81"/>
        <v>#DIV/0!</v>
      </c>
      <c r="W127" s="18">
        <f t="shared" si="84"/>
        <v>0</v>
      </c>
      <c r="X127" s="19" t="e">
        <f t="shared" si="85"/>
        <v>#DIV/0!</v>
      </c>
      <c r="Y127" s="3"/>
      <c r="Z127" s="3"/>
      <c r="AA127" s="3"/>
      <c r="AB127" s="3"/>
      <c r="AC127" s="3"/>
      <c r="AD127" s="3"/>
      <c r="AE127" s="3"/>
      <c r="AF127" s="3"/>
    </row>
    <row r="128" spans="1:32" s="22" customFormat="1" ht="15.75">
      <c r="A128" s="5"/>
      <c r="B128" s="80" t="s">
        <v>238</v>
      </c>
      <c r="C128" s="74" t="s">
        <v>137</v>
      </c>
      <c r="D128" s="76">
        <v>132000</v>
      </c>
      <c r="E128" s="17">
        <f t="shared" si="82"/>
        <v>11000</v>
      </c>
      <c r="F128" s="17">
        <v>269</v>
      </c>
      <c r="G128" s="17">
        <v>14600</v>
      </c>
      <c r="H128" s="17">
        <v>840</v>
      </c>
      <c r="I128" s="17">
        <f>750+134.95</f>
        <v>884.95</v>
      </c>
      <c r="J128" s="17">
        <v>1700</v>
      </c>
      <c r="K128" s="17"/>
      <c r="L128" s="17"/>
      <c r="M128" s="17"/>
      <c r="N128" s="17"/>
      <c r="O128" s="17">
        <v>290</v>
      </c>
      <c r="P128" s="17">
        <v>1000</v>
      </c>
      <c r="Q128" s="83">
        <v>179.95</v>
      </c>
      <c r="R128" s="122">
        <v>0</v>
      </c>
      <c r="S128" s="18">
        <f t="shared" si="83"/>
        <v>179.95</v>
      </c>
      <c r="T128" s="19">
        <f t="shared" si="79"/>
        <v>1.3632575757575756E-3</v>
      </c>
      <c r="U128" s="20">
        <f t="shared" si="80"/>
        <v>131820.04999999999</v>
      </c>
      <c r="V128" s="21">
        <f t="shared" si="81"/>
        <v>0.99863674242424239</v>
      </c>
      <c r="W128" s="18">
        <f t="shared" si="84"/>
        <v>131820.04999999999</v>
      </c>
      <c r="X128" s="19">
        <f t="shared" si="85"/>
        <v>0.99863674242424239</v>
      </c>
      <c r="Y128" s="3"/>
      <c r="Z128" s="3"/>
      <c r="AA128" s="3"/>
      <c r="AB128" s="3"/>
      <c r="AC128" s="3"/>
      <c r="AD128" s="3"/>
      <c r="AE128" s="3"/>
      <c r="AF128" s="3"/>
    </row>
    <row r="129" spans="1:32" s="22" customFormat="1" ht="15.75">
      <c r="A129" s="5"/>
      <c r="B129" s="80" t="s">
        <v>239</v>
      </c>
      <c r="C129" s="74" t="s">
        <v>138</v>
      </c>
      <c r="D129" s="76">
        <v>550000</v>
      </c>
      <c r="E129" s="17">
        <f t="shared" si="82"/>
        <v>45833.333333333336</v>
      </c>
      <c r="F129" s="17">
        <v>9453.27</v>
      </c>
      <c r="G129" s="17">
        <v>17082.400000000001</v>
      </c>
      <c r="H129" s="17">
        <v>2835</v>
      </c>
      <c r="I129" s="17">
        <v>20066.25</v>
      </c>
      <c r="J129" s="17">
        <v>1215163.3400000001</v>
      </c>
      <c r="K129" s="17"/>
      <c r="L129" s="17">
        <v>38978.300000000003</v>
      </c>
      <c r="M129" s="17">
        <v>109326.74</v>
      </c>
      <c r="N129" s="17">
        <v>522</v>
      </c>
      <c r="O129" s="17">
        <v>619320.4</v>
      </c>
      <c r="P129" s="17">
        <v>1072095.19</v>
      </c>
      <c r="Q129" s="83">
        <f>3441.99+190</f>
        <v>3631.99</v>
      </c>
      <c r="R129" s="122">
        <v>16592.52</v>
      </c>
      <c r="S129" s="18">
        <f>+Q129+R129</f>
        <v>20224.510000000002</v>
      </c>
      <c r="T129" s="19">
        <f>+S129/D129</f>
        <v>3.6771836363636366E-2</v>
      </c>
      <c r="U129" s="20">
        <f>+D129-S129</f>
        <v>529775.49</v>
      </c>
      <c r="V129" s="21">
        <f t="shared" si="81"/>
        <v>0.96322816363636365</v>
      </c>
      <c r="W129" s="18">
        <f>+D129-S129</f>
        <v>529775.49</v>
      </c>
      <c r="X129" s="19">
        <f t="shared" si="85"/>
        <v>0.96322816363636365</v>
      </c>
      <c r="Y129" s="3"/>
      <c r="Z129" s="3"/>
      <c r="AA129" s="3"/>
      <c r="AB129" s="3"/>
      <c r="AC129" s="3"/>
      <c r="AD129" s="3"/>
      <c r="AE129" s="3"/>
      <c r="AF129" s="3"/>
    </row>
    <row r="130" spans="1:32" s="22" customFormat="1">
      <c r="A130" s="5"/>
      <c r="B130" s="88" t="s">
        <v>139</v>
      </c>
      <c r="C130" s="24" t="s">
        <v>140</v>
      </c>
      <c r="D130" s="9">
        <f t="shared" ref="D130:P130" si="86">SUM(D131:D135)</f>
        <v>3220000</v>
      </c>
      <c r="E130" s="9">
        <f>SUM(E131:E135)</f>
        <v>268333.33333333337</v>
      </c>
      <c r="F130" s="10">
        <f t="shared" si="86"/>
        <v>456653.12</v>
      </c>
      <c r="G130" s="10">
        <f t="shared" si="86"/>
        <v>859860.41</v>
      </c>
      <c r="H130" s="10">
        <f t="shared" si="86"/>
        <v>42683.08</v>
      </c>
      <c r="I130" s="10">
        <f t="shared" si="86"/>
        <v>545327.33000000007</v>
      </c>
      <c r="J130" s="10">
        <f t="shared" si="86"/>
        <v>148469.95000000001</v>
      </c>
      <c r="K130" s="10">
        <f t="shared" si="86"/>
        <v>295564.21999999997</v>
      </c>
      <c r="L130" s="10">
        <f t="shared" si="86"/>
        <v>435915.19999999995</v>
      </c>
      <c r="M130" s="10">
        <f t="shared" si="86"/>
        <v>1980761.6300000001</v>
      </c>
      <c r="N130" s="10">
        <f>SUM(N131:N135)</f>
        <v>37569.440000000002</v>
      </c>
      <c r="O130" s="10">
        <f>SUM(O131:O135)</f>
        <v>990494.22</v>
      </c>
      <c r="P130" s="10">
        <f t="shared" si="86"/>
        <v>194985.87</v>
      </c>
      <c r="Q130" s="10">
        <f>SUM(Q131:Q135)</f>
        <v>253337.21</v>
      </c>
      <c r="R130" s="121">
        <f>+R131+R132+R133+R134+R135</f>
        <v>26639.199999999997</v>
      </c>
      <c r="S130" s="11">
        <f>+S131+S132+S133+S134+S135</f>
        <v>279976.41000000003</v>
      </c>
      <c r="T130" s="12">
        <f t="shared" si="79"/>
        <v>8.6949195652173919E-2</v>
      </c>
      <c r="U130" s="13">
        <f t="shared" si="80"/>
        <v>2940023.59</v>
      </c>
      <c r="V130" s="14">
        <f t="shared" si="81"/>
        <v>0.91305080434782604</v>
      </c>
      <c r="W130" s="96">
        <f>+W131+W132+W133+W134+W135</f>
        <v>2940023.59</v>
      </c>
      <c r="X130" s="97">
        <f>+W130/D130</f>
        <v>0.91305080434782604</v>
      </c>
      <c r="Y130" s="3"/>
      <c r="Z130" s="3"/>
      <c r="AA130" s="3"/>
      <c r="AB130" s="3"/>
      <c r="AC130" s="3"/>
      <c r="AD130" s="3"/>
      <c r="AE130" s="3"/>
      <c r="AF130" s="3"/>
    </row>
    <row r="131" spans="1:32" s="22" customFormat="1" ht="15.75">
      <c r="A131" s="5"/>
      <c r="B131" s="69" t="s">
        <v>240</v>
      </c>
      <c r="C131" s="70" t="s">
        <v>141</v>
      </c>
      <c r="D131" s="76">
        <v>800000</v>
      </c>
      <c r="E131" s="17">
        <f t="shared" si="82"/>
        <v>66666.666666666672</v>
      </c>
      <c r="F131" s="17">
        <v>1918.83</v>
      </c>
      <c r="G131" s="17">
        <v>241805.66</v>
      </c>
      <c r="H131" s="17">
        <v>2115.25</v>
      </c>
      <c r="I131" s="17">
        <v>669.95</v>
      </c>
      <c r="J131" s="17">
        <v>2433.64</v>
      </c>
      <c r="K131" s="17">
        <v>283</v>
      </c>
      <c r="L131" s="17">
        <v>117606.95</v>
      </c>
      <c r="M131" s="17">
        <v>7016.31</v>
      </c>
      <c r="N131" s="17">
        <v>3115.67</v>
      </c>
      <c r="O131" s="17">
        <v>520551.34</v>
      </c>
      <c r="P131" s="17">
        <v>3262.31</v>
      </c>
      <c r="Q131" s="83">
        <v>566</v>
      </c>
      <c r="R131" s="122">
        <v>2863.92</v>
      </c>
      <c r="S131" s="18">
        <f t="shared" ref="S131:S135" si="87">+Q131+R131</f>
        <v>3429.92</v>
      </c>
      <c r="T131" s="19">
        <f>+S131/D131</f>
        <v>4.2874000000000002E-3</v>
      </c>
      <c r="U131" s="20">
        <f>+D131-S131</f>
        <v>796570.08</v>
      </c>
      <c r="V131" s="21">
        <f t="shared" si="81"/>
        <v>0.99571259999999995</v>
      </c>
      <c r="W131" s="18">
        <f>+D131-S131</f>
        <v>796570.08</v>
      </c>
      <c r="X131" s="19">
        <f t="shared" ref="X131:X135" si="88">+W131/D131</f>
        <v>0.99571259999999995</v>
      </c>
      <c r="Y131" s="3"/>
      <c r="Z131" s="3"/>
      <c r="AA131" s="3"/>
      <c r="AB131" s="3"/>
      <c r="AC131" s="3"/>
      <c r="AD131" s="3"/>
      <c r="AE131" s="3"/>
      <c r="AF131" s="3"/>
    </row>
    <row r="132" spans="1:32" s="22" customFormat="1" ht="15.75">
      <c r="A132" s="5"/>
      <c r="B132" s="69" t="s">
        <v>241</v>
      </c>
      <c r="C132" s="70" t="s">
        <v>142</v>
      </c>
      <c r="D132" s="76">
        <v>1570000</v>
      </c>
      <c r="E132" s="17">
        <f t="shared" si="82"/>
        <v>130833.33333333333</v>
      </c>
      <c r="F132" s="17">
        <v>113593.11</v>
      </c>
      <c r="G132" s="17">
        <v>347033.35</v>
      </c>
      <c r="H132" s="17">
        <v>16747.7</v>
      </c>
      <c r="I132" s="17">
        <v>250069.25</v>
      </c>
      <c r="J132" s="17">
        <v>19488.72</v>
      </c>
      <c r="K132" s="17">
        <v>7490.02</v>
      </c>
      <c r="L132" s="17">
        <v>184827.97</v>
      </c>
      <c r="M132" s="17">
        <v>961886.64</v>
      </c>
      <c r="N132" s="17">
        <v>21585.97</v>
      </c>
      <c r="O132" s="17">
        <v>254801.52</v>
      </c>
      <c r="P132" s="17">
        <v>30385.7</v>
      </c>
      <c r="Q132" s="83">
        <v>17290.84</v>
      </c>
      <c r="R132" s="122">
        <v>16325.65</v>
      </c>
      <c r="S132" s="18">
        <f t="shared" si="87"/>
        <v>33616.49</v>
      </c>
      <c r="T132" s="19">
        <f t="shared" si="79"/>
        <v>2.1411777070063694E-2</v>
      </c>
      <c r="U132" s="20">
        <f t="shared" si="80"/>
        <v>1536383.51</v>
      </c>
      <c r="V132" s="21">
        <f t="shared" si="81"/>
        <v>0.9785882229299363</v>
      </c>
      <c r="W132" s="18">
        <f t="shared" ref="W132:W135" si="89">+D132-S132</f>
        <v>1536383.51</v>
      </c>
      <c r="X132" s="19">
        <f t="shared" si="88"/>
        <v>0.9785882229299363</v>
      </c>
      <c r="Y132" s="3"/>
      <c r="Z132" s="3"/>
      <c r="AA132" s="3"/>
      <c r="AB132" s="3"/>
      <c r="AC132" s="3"/>
      <c r="AD132" s="3"/>
      <c r="AE132" s="3"/>
      <c r="AF132" s="3"/>
    </row>
    <row r="133" spans="1:32" s="22" customFormat="1" ht="15.75">
      <c r="A133" s="5"/>
      <c r="B133" s="69" t="s">
        <v>242</v>
      </c>
      <c r="C133" s="70" t="s">
        <v>143</v>
      </c>
      <c r="D133" s="76">
        <v>250000</v>
      </c>
      <c r="E133" s="17">
        <f t="shared" si="82"/>
        <v>20833.333333333332</v>
      </c>
      <c r="F133" s="17"/>
      <c r="G133" s="17"/>
      <c r="H133" s="17"/>
      <c r="I133" s="17"/>
      <c r="J133" s="17"/>
      <c r="K133" s="17"/>
      <c r="L133" s="17">
        <v>338.98</v>
      </c>
      <c r="M133" s="17"/>
      <c r="N133" s="17"/>
      <c r="O133" s="17"/>
      <c r="P133" s="17"/>
      <c r="Q133" s="83">
        <v>69832.399999999994</v>
      </c>
      <c r="R133" s="122">
        <v>1064.94</v>
      </c>
      <c r="S133" s="18">
        <f t="shared" si="87"/>
        <v>70897.34</v>
      </c>
      <c r="T133" s="19">
        <f t="shared" si="79"/>
        <v>0.28358936000000001</v>
      </c>
      <c r="U133" s="20">
        <f t="shared" si="80"/>
        <v>179102.66</v>
      </c>
      <c r="V133" s="21">
        <f t="shared" si="81"/>
        <v>0.71641063999999999</v>
      </c>
      <c r="W133" s="18">
        <f t="shared" si="89"/>
        <v>179102.66</v>
      </c>
      <c r="X133" s="19">
        <f t="shared" si="88"/>
        <v>0.71641063999999999</v>
      </c>
      <c r="Y133" s="3"/>
      <c r="Z133" s="3"/>
      <c r="AA133" s="3"/>
      <c r="AB133" s="3"/>
      <c r="AC133" s="3"/>
      <c r="AD133" s="3"/>
      <c r="AE133" s="3"/>
      <c r="AF133" s="3"/>
    </row>
    <row r="134" spans="1:32" s="22" customFormat="1" ht="15.75">
      <c r="A134" s="5"/>
      <c r="B134" s="69" t="s">
        <v>243</v>
      </c>
      <c r="C134" s="70" t="s">
        <v>144</v>
      </c>
      <c r="D134" s="76">
        <v>100000</v>
      </c>
      <c r="E134" s="17">
        <f t="shared" si="82"/>
        <v>8333.3333333333339</v>
      </c>
      <c r="F134" s="17"/>
      <c r="G134" s="17">
        <v>78.900000000000006</v>
      </c>
      <c r="H134" s="17">
        <v>555</v>
      </c>
      <c r="I134" s="17">
        <v>589</v>
      </c>
      <c r="J134" s="17"/>
      <c r="K134" s="17">
        <v>1029.58</v>
      </c>
      <c r="L134" s="17">
        <v>740</v>
      </c>
      <c r="M134" s="17"/>
      <c r="N134" s="17">
        <v>1134</v>
      </c>
      <c r="O134" s="17">
        <v>1095</v>
      </c>
      <c r="P134" s="17">
        <v>2533.9</v>
      </c>
      <c r="Q134" s="83">
        <v>1914.19</v>
      </c>
      <c r="R134" s="122">
        <v>6384.69</v>
      </c>
      <c r="S134" s="18">
        <f t="shared" si="87"/>
        <v>8298.8799999999992</v>
      </c>
      <c r="T134" s="19">
        <f t="shared" si="79"/>
        <v>8.2988799999999988E-2</v>
      </c>
      <c r="U134" s="20">
        <f t="shared" si="80"/>
        <v>91701.119999999995</v>
      </c>
      <c r="V134" s="21">
        <f t="shared" si="81"/>
        <v>0.91701119999999992</v>
      </c>
      <c r="W134" s="18">
        <f t="shared" si="89"/>
        <v>91701.119999999995</v>
      </c>
      <c r="X134" s="19">
        <f t="shared" si="88"/>
        <v>0.91701119999999992</v>
      </c>
      <c r="Y134" s="3"/>
      <c r="Z134" s="3"/>
      <c r="AA134" s="3"/>
      <c r="AB134" s="3"/>
      <c r="AC134" s="3"/>
      <c r="AD134" s="3"/>
      <c r="AE134" s="3"/>
      <c r="AF134" s="3"/>
    </row>
    <row r="135" spans="1:32" s="22" customFormat="1" ht="15.75">
      <c r="A135" s="5"/>
      <c r="B135" s="69" t="s">
        <v>244</v>
      </c>
      <c r="C135" s="74" t="s">
        <v>145</v>
      </c>
      <c r="D135" s="76">
        <v>500000</v>
      </c>
      <c r="E135" s="17">
        <f t="shared" si="82"/>
        <v>41666.666666666664</v>
      </c>
      <c r="F135" s="17">
        <v>341141.18</v>
      </c>
      <c r="G135" s="17">
        <v>270942.5</v>
      </c>
      <c r="H135" s="17">
        <v>23265.13</v>
      </c>
      <c r="I135" s="17">
        <v>293999.13</v>
      </c>
      <c r="J135" s="17">
        <v>126547.59</v>
      </c>
      <c r="K135" s="17">
        <v>286761.62</v>
      </c>
      <c r="L135" s="17">
        <v>132401.29999999999</v>
      </c>
      <c r="M135" s="17">
        <v>1011858.68</v>
      </c>
      <c r="N135" s="17">
        <v>11733.8</v>
      </c>
      <c r="O135" s="17">
        <v>214046.36</v>
      </c>
      <c r="P135" s="17">
        <v>158803.96</v>
      </c>
      <c r="Q135" s="83">
        <v>163733.78</v>
      </c>
      <c r="R135" s="122">
        <v>0</v>
      </c>
      <c r="S135" s="18">
        <f t="shared" si="87"/>
        <v>163733.78</v>
      </c>
      <c r="T135" s="19">
        <f t="shared" si="79"/>
        <v>0.32746755999999999</v>
      </c>
      <c r="U135" s="20">
        <f t="shared" si="80"/>
        <v>336266.22</v>
      </c>
      <c r="V135" s="21">
        <f t="shared" si="81"/>
        <v>0.6725324399999999</v>
      </c>
      <c r="W135" s="18">
        <f t="shared" si="89"/>
        <v>336266.22</v>
      </c>
      <c r="X135" s="19">
        <f t="shared" si="88"/>
        <v>0.6725324399999999</v>
      </c>
      <c r="Y135" s="3"/>
      <c r="Z135" s="3"/>
      <c r="AA135" s="3"/>
      <c r="AB135" s="3"/>
      <c r="AC135" s="3"/>
      <c r="AD135" s="3"/>
      <c r="AE135" s="3"/>
      <c r="AF135" s="3"/>
    </row>
    <row r="136" spans="1:32" s="22" customFormat="1" hidden="1">
      <c r="A136" s="5"/>
      <c r="B136" s="89" t="s">
        <v>146</v>
      </c>
      <c r="C136" s="15" t="s">
        <v>147</v>
      </c>
      <c r="D136" s="38"/>
      <c r="E136" s="17">
        <v>0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26"/>
      <c r="S136" s="26"/>
      <c r="T136" s="26"/>
      <c r="U136" s="38"/>
      <c r="V136" s="38"/>
      <c r="W136" s="26"/>
      <c r="X136" s="26"/>
      <c r="Y136" s="3"/>
      <c r="Z136" s="3"/>
      <c r="AA136" s="3"/>
      <c r="AB136" s="3"/>
      <c r="AC136" s="3"/>
      <c r="AD136" s="3"/>
      <c r="AE136" s="3"/>
      <c r="AF136" s="3"/>
    </row>
    <row r="137" spans="1:32" s="3" customFormat="1" hidden="1">
      <c r="A137" s="5"/>
      <c r="B137" s="92" t="s">
        <v>148</v>
      </c>
      <c r="C137" s="15" t="s">
        <v>149</v>
      </c>
      <c r="D137" s="38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26"/>
      <c r="S137" s="26"/>
      <c r="T137" s="26"/>
      <c r="U137" s="38"/>
      <c r="V137" s="38"/>
      <c r="W137" s="26"/>
      <c r="X137" s="26"/>
    </row>
    <row r="138" spans="1:32" s="3" customFormat="1">
      <c r="A138" s="5"/>
      <c r="B138" s="88" t="s">
        <v>150</v>
      </c>
      <c r="C138" s="24" t="s">
        <v>151</v>
      </c>
      <c r="D138" s="9">
        <f t="shared" ref="D138:P138" si="90">SUM(D139:D142)</f>
        <v>12044800</v>
      </c>
      <c r="E138" s="9">
        <f>SUM(E139:E142)</f>
        <v>1003733.3333333334</v>
      </c>
      <c r="F138" s="10">
        <f t="shared" si="90"/>
        <v>96194.49</v>
      </c>
      <c r="G138" s="10">
        <f t="shared" si="90"/>
        <v>78000</v>
      </c>
      <c r="H138" s="10">
        <f t="shared" si="90"/>
        <v>139363.04999999999</v>
      </c>
      <c r="I138" s="10">
        <f t="shared" si="90"/>
        <v>158000</v>
      </c>
      <c r="J138" s="10">
        <f t="shared" si="90"/>
        <v>633795.98</v>
      </c>
      <c r="K138" s="10">
        <f t="shared" si="90"/>
        <v>5084958.49</v>
      </c>
      <c r="L138" s="10">
        <f t="shared" si="90"/>
        <v>38000</v>
      </c>
      <c r="M138" s="10">
        <f t="shared" si="90"/>
        <v>55118.47</v>
      </c>
      <c r="N138" s="10">
        <f>SUM(N139:N142)</f>
        <v>208285.19</v>
      </c>
      <c r="O138" s="10">
        <f t="shared" si="90"/>
        <v>128000</v>
      </c>
      <c r="P138" s="10">
        <f t="shared" si="90"/>
        <v>680789.53</v>
      </c>
      <c r="Q138" s="10">
        <f>+Q140+Q142</f>
        <v>191840</v>
      </c>
      <c r="R138" s="121">
        <f>SUM(R140:R142)</f>
        <v>2404345</v>
      </c>
      <c r="S138" s="11">
        <f>+S140+S142</f>
        <v>496185</v>
      </c>
      <c r="T138" s="12">
        <f>+S138/D138</f>
        <v>4.1194955499468652E-2</v>
      </c>
      <c r="U138" s="13">
        <f>+D138-S138</f>
        <v>11548615</v>
      </c>
      <c r="V138" s="14">
        <f>+U138/D138</f>
        <v>0.95880504450053139</v>
      </c>
      <c r="W138" s="96">
        <f>+W140+W142</f>
        <v>1548615</v>
      </c>
      <c r="X138" s="97">
        <f>+W138/H138</f>
        <v>11.112091763204093</v>
      </c>
    </row>
    <row r="139" spans="1:32" s="3" customFormat="1" hidden="1">
      <c r="A139" s="5"/>
      <c r="B139" s="89" t="s">
        <v>152</v>
      </c>
      <c r="C139" s="15" t="s">
        <v>153</v>
      </c>
      <c r="D139" s="16">
        <f>2140000-300000-4000-600-210000-150000-1400000-30000-45400</f>
        <v>0</v>
      </c>
      <c r="E139" s="17">
        <f>+D139/12</f>
        <v>0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26"/>
      <c r="S139" s="26">
        <f>SUM(F139:Q139)</f>
        <v>0</v>
      </c>
      <c r="T139" s="19" t="e">
        <f>+S139/D139</f>
        <v>#DIV/0!</v>
      </c>
      <c r="U139" s="20">
        <f>+D139-S139</f>
        <v>0</v>
      </c>
      <c r="V139" s="21" t="e">
        <f>+U139/D139</f>
        <v>#DIV/0!</v>
      </c>
      <c r="W139" s="26" t="e">
        <f>SUM(J139:V139)</f>
        <v>#DIV/0!</v>
      </c>
      <c r="X139" s="19" t="e">
        <f>+W139/H139</f>
        <v>#DIV/0!</v>
      </c>
    </row>
    <row r="140" spans="1:32" s="3" customFormat="1" ht="15.75">
      <c r="A140" s="5"/>
      <c r="B140" s="69" t="s">
        <v>245</v>
      </c>
      <c r="C140" s="70" t="s">
        <v>154</v>
      </c>
      <c r="D140" s="72">
        <v>1024800</v>
      </c>
      <c r="E140" s="17">
        <f t="shared" ref="E140:E142" si="91">+D140/12</f>
        <v>85400</v>
      </c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27">
        <f>30000+3919790.02+58000-3815950.02</f>
        <v>191840</v>
      </c>
      <c r="R140" s="126">
        <f>30000+123000+151345</f>
        <v>304345</v>
      </c>
      <c r="S140" s="18">
        <f t="shared" ref="S140:S142" si="92">+Q140+R140</f>
        <v>496185</v>
      </c>
      <c r="T140" s="19">
        <f t="shared" ref="T140" si="93">+S140/D140</f>
        <v>0.48417740046838409</v>
      </c>
      <c r="U140" s="20"/>
      <c r="V140" s="21"/>
      <c r="W140" s="18">
        <f t="shared" ref="W140:W142" si="94">+D140-S140</f>
        <v>528615</v>
      </c>
      <c r="X140" s="19">
        <f t="shared" ref="X140:X142" si="95">+W140/D140</f>
        <v>0.51582259953161591</v>
      </c>
    </row>
    <row r="141" spans="1:32" ht="15.75">
      <c r="A141" s="37"/>
      <c r="B141" s="100" t="s">
        <v>245</v>
      </c>
      <c r="C141" s="51" t="s">
        <v>280</v>
      </c>
      <c r="D141" s="81">
        <v>10000000</v>
      </c>
      <c r="E141" s="82">
        <f t="shared" si="91"/>
        <v>833333.33333333337</v>
      </c>
      <c r="F141" s="52">
        <v>18194.490000000002</v>
      </c>
      <c r="G141" s="52"/>
      <c r="H141" s="52">
        <v>11363.05</v>
      </c>
      <c r="I141" s="52"/>
      <c r="J141" s="52">
        <v>10795.98</v>
      </c>
      <c r="K141" s="52">
        <f>+D141/2+6958.49</f>
        <v>5006958.49</v>
      </c>
      <c r="L141" s="52"/>
      <c r="M141" s="52">
        <v>17118.47</v>
      </c>
      <c r="N141" s="52">
        <v>16575.29</v>
      </c>
      <c r="O141" s="52"/>
      <c r="P141" s="52">
        <v>11789.53</v>
      </c>
      <c r="Q141" s="52">
        <v>7500000</v>
      </c>
      <c r="R141" s="133">
        <v>2100000</v>
      </c>
      <c r="S141" s="26">
        <f>+Q141</f>
        <v>7500000</v>
      </c>
      <c r="T141" s="19">
        <f>+S141/D141</f>
        <v>0.75</v>
      </c>
      <c r="U141" s="20">
        <f>+D141-S141</f>
        <v>2500000</v>
      </c>
      <c r="V141" s="21">
        <f>+U141/D141</f>
        <v>0.25</v>
      </c>
      <c r="W141" s="96">
        <f t="shared" si="94"/>
        <v>2500000</v>
      </c>
      <c r="X141" s="97">
        <f t="shared" si="95"/>
        <v>0.25</v>
      </c>
    </row>
    <row r="142" spans="1:32" s="3" customFormat="1" ht="15.75">
      <c r="A142" s="5"/>
      <c r="B142" s="69" t="s">
        <v>246</v>
      </c>
      <c r="C142" s="70" t="s">
        <v>167</v>
      </c>
      <c r="D142" s="72">
        <v>1020000</v>
      </c>
      <c r="E142" s="17">
        <f t="shared" si="91"/>
        <v>85000</v>
      </c>
      <c r="F142" s="17">
        <v>78000</v>
      </c>
      <c r="G142" s="17">
        <v>78000</v>
      </c>
      <c r="H142" s="17">
        <f>78000+50000</f>
        <v>128000</v>
      </c>
      <c r="I142" s="17">
        <v>158000</v>
      </c>
      <c r="J142" s="17">
        <f>200000+220000+203000</f>
        <v>623000</v>
      </c>
      <c r="K142" s="17">
        <v>78000</v>
      </c>
      <c r="L142" s="17">
        <v>38000</v>
      </c>
      <c r="M142" s="17">
        <v>38000</v>
      </c>
      <c r="N142" s="17">
        <f>191000+709.9</f>
        <v>191709.9</v>
      </c>
      <c r="O142" s="17">
        <f>30000+40000+58000</f>
        <v>128000</v>
      </c>
      <c r="P142" s="17">
        <f>30000+639000</f>
        <v>669000</v>
      </c>
      <c r="Q142" s="17">
        <v>0</v>
      </c>
      <c r="R142" s="126">
        <v>0</v>
      </c>
      <c r="S142" s="18">
        <f t="shared" si="92"/>
        <v>0</v>
      </c>
      <c r="T142" s="19">
        <f>+S142/D142</f>
        <v>0</v>
      </c>
      <c r="U142" s="20">
        <f>+D142-S142</f>
        <v>1020000</v>
      </c>
      <c r="V142" s="21">
        <f>+U142/D142</f>
        <v>1</v>
      </c>
      <c r="W142" s="18">
        <f t="shared" si="94"/>
        <v>1020000</v>
      </c>
      <c r="X142" s="19">
        <f t="shared" si="95"/>
        <v>1</v>
      </c>
    </row>
    <row r="143" spans="1:32" s="3" customFormat="1" hidden="1">
      <c r="A143" s="5"/>
      <c r="B143" s="89" t="s">
        <v>155</v>
      </c>
      <c r="C143" s="15" t="s">
        <v>156</v>
      </c>
      <c r="D143" s="16"/>
      <c r="E143" s="17">
        <v>0</v>
      </c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26"/>
      <c r="S143" s="26"/>
      <c r="T143" s="26"/>
      <c r="U143" s="16"/>
      <c r="V143" s="16"/>
      <c r="W143" s="26"/>
      <c r="X143" s="26"/>
    </row>
    <row r="144" spans="1:32" s="3" customFormat="1" hidden="1">
      <c r="A144" s="5"/>
      <c r="B144" s="89" t="s">
        <v>157</v>
      </c>
      <c r="C144" s="15" t="s">
        <v>158</v>
      </c>
      <c r="D144" s="38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26"/>
      <c r="S144" s="26"/>
      <c r="T144" s="26"/>
      <c r="U144" s="38"/>
      <c r="V144" s="38"/>
      <c r="W144" s="26"/>
      <c r="X144" s="26"/>
    </row>
    <row r="145" spans="1:32" s="3" customFormat="1" hidden="1">
      <c r="A145" s="5"/>
      <c r="B145" s="88" t="s">
        <v>159</v>
      </c>
      <c r="C145" s="24" t="s">
        <v>160</v>
      </c>
      <c r="D145" s="42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31"/>
      <c r="S145" s="26"/>
      <c r="T145" s="26"/>
      <c r="U145" s="42"/>
      <c r="V145" s="42"/>
      <c r="W145" s="26"/>
      <c r="X145" s="26"/>
      <c r="Y145" s="4"/>
      <c r="Z145" s="4"/>
      <c r="AA145" s="4"/>
      <c r="AB145" s="4"/>
      <c r="AC145" s="4"/>
      <c r="AD145" s="4"/>
      <c r="AE145" s="4"/>
      <c r="AF145" s="4"/>
    </row>
    <row r="146" spans="1:32" s="3" customFormat="1" hidden="1">
      <c r="A146" s="5"/>
      <c r="B146" s="89" t="s">
        <v>161</v>
      </c>
      <c r="C146" s="15" t="s">
        <v>162</v>
      </c>
      <c r="D146" s="38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26"/>
      <c r="S146" s="26"/>
      <c r="T146" s="26"/>
      <c r="U146" s="38"/>
      <c r="V146" s="38"/>
      <c r="W146" s="26"/>
      <c r="X146" s="26"/>
      <c r="Y146" s="4"/>
      <c r="Z146" s="4"/>
      <c r="AA146" s="4"/>
      <c r="AB146" s="4"/>
      <c r="AC146" s="4"/>
      <c r="AD146" s="4"/>
      <c r="AE146" s="4"/>
      <c r="AF146" s="4"/>
    </row>
    <row r="147" spans="1:32" s="3" customFormat="1" ht="30" hidden="1">
      <c r="A147" s="5"/>
      <c r="B147" s="89" t="s">
        <v>163</v>
      </c>
      <c r="C147" s="43" t="s">
        <v>164</v>
      </c>
      <c r="D147" s="38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26"/>
      <c r="S147" s="26"/>
      <c r="T147" s="26"/>
      <c r="U147" s="38"/>
      <c r="V147" s="38"/>
      <c r="W147" s="26"/>
      <c r="X147" s="26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>
      <c r="A148" s="5"/>
      <c r="B148" s="88" t="s">
        <v>165</v>
      </c>
      <c r="C148" s="24" t="s">
        <v>166</v>
      </c>
      <c r="D148" s="9">
        <f t="shared" ref="D148:P148" si="96">SUM(D149:D151)</f>
        <v>420000</v>
      </c>
      <c r="E148" s="9">
        <f>+E149</f>
        <v>35000</v>
      </c>
      <c r="F148" s="10">
        <f t="shared" si="96"/>
        <v>183162</v>
      </c>
      <c r="G148" s="10">
        <f t="shared" si="96"/>
        <v>0</v>
      </c>
      <c r="H148" s="10">
        <f t="shared" si="96"/>
        <v>0</v>
      </c>
      <c r="I148" s="10">
        <f t="shared" si="96"/>
        <v>75900.5</v>
      </c>
      <c r="J148" s="10">
        <f t="shared" si="96"/>
        <v>40575</v>
      </c>
      <c r="K148" s="10">
        <f t="shared" si="96"/>
        <v>269226</v>
      </c>
      <c r="L148" s="10">
        <f t="shared" si="96"/>
        <v>0</v>
      </c>
      <c r="M148" s="10">
        <f t="shared" si="96"/>
        <v>0</v>
      </c>
      <c r="N148" s="10">
        <f t="shared" si="96"/>
        <v>0</v>
      </c>
      <c r="O148" s="10">
        <f t="shared" si="96"/>
        <v>0</v>
      </c>
      <c r="P148" s="10">
        <f t="shared" si="96"/>
        <v>0</v>
      </c>
      <c r="Q148" s="10">
        <f>+Q149</f>
        <v>35000</v>
      </c>
      <c r="R148" s="121">
        <f>+R149</f>
        <v>70000</v>
      </c>
      <c r="S148" s="11">
        <f>+S149</f>
        <v>105000</v>
      </c>
      <c r="T148" s="12">
        <f>+S148/D148</f>
        <v>0.25</v>
      </c>
      <c r="U148" s="13">
        <f t="shared" ref="U148:U151" si="97">+D148-S148</f>
        <v>315000</v>
      </c>
      <c r="V148" s="14">
        <f>+U148/D148</f>
        <v>0.75</v>
      </c>
      <c r="W148" s="96">
        <f>+W149</f>
        <v>315000</v>
      </c>
      <c r="X148" s="97">
        <f>+W148/D148</f>
        <v>0.75</v>
      </c>
      <c r="Y148" s="4"/>
      <c r="Z148" s="4"/>
      <c r="AA148" s="4"/>
      <c r="AB148" s="4"/>
      <c r="AC148" s="4"/>
      <c r="AD148" s="4"/>
      <c r="AE148" s="4"/>
      <c r="AF148" s="4"/>
    </row>
    <row r="149" spans="1:32" s="3" customFormat="1" ht="15.75">
      <c r="A149" s="5"/>
      <c r="B149" s="69" t="s">
        <v>247</v>
      </c>
      <c r="C149" s="70" t="s">
        <v>168</v>
      </c>
      <c r="D149" s="76">
        <v>420000</v>
      </c>
      <c r="E149" s="17">
        <f t="shared" ref="E149" si="98">+D149/12</f>
        <v>35000</v>
      </c>
      <c r="F149" s="17">
        <v>183162</v>
      </c>
      <c r="G149" s="17"/>
      <c r="H149" s="17"/>
      <c r="I149" s="17">
        <v>75900.5</v>
      </c>
      <c r="J149" s="17">
        <v>40575</v>
      </c>
      <c r="K149" s="17">
        <v>269226</v>
      </c>
      <c r="L149" s="17"/>
      <c r="M149" s="17"/>
      <c r="N149" s="17"/>
      <c r="O149" s="17"/>
      <c r="P149" s="17"/>
      <c r="Q149" s="85">
        <v>35000</v>
      </c>
      <c r="R149" s="122">
        <v>70000</v>
      </c>
      <c r="S149" s="18">
        <f t="shared" ref="S149" si="99">+Q149+R149</f>
        <v>105000</v>
      </c>
      <c r="T149" s="19">
        <f t="shared" ref="T149:T162" si="100">+S149/D149</f>
        <v>0.25</v>
      </c>
      <c r="U149" s="20">
        <f t="shared" si="97"/>
        <v>315000</v>
      </c>
      <c r="V149" s="21">
        <f>+U149/D149</f>
        <v>0.75</v>
      </c>
      <c r="W149" s="18">
        <f t="shared" ref="W149" si="101">+D149-S149</f>
        <v>315000</v>
      </c>
      <c r="X149" s="19">
        <f t="shared" ref="X149" si="102">+W149/D149</f>
        <v>0.75</v>
      </c>
      <c r="Y149" s="4"/>
      <c r="Z149" s="4"/>
      <c r="AA149" s="4"/>
      <c r="AB149" s="4"/>
      <c r="AC149" s="4"/>
      <c r="AD149" s="4"/>
      <c r="AE149" s="4"/>
      <c r="AF149" s="4"/>
    </row>
    <row r="150" spans="1:32" s="3" customFormat="1" hidden="1">
      <c r="A150" s="5"/>
      <c r="B150" s="88"/>
      <c r="C150" s="24"/>
      <c r="D150" s="42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31"/>
      <c r="S150" s="26">
        <f>SUM(F150:Q150)</f>
        <v>0</v>
      </c>
      <c r="T150" s="19" t="e">
        <f t="shared" si="100"/>
        <v>#DIV/0!</v>
      </c>
      <c r="U150" s="20">
        <f t="shared" si="97"/>
        <v>0</v>
      </c>
      <c r="V150" s="21" t="e">
        <f t="shared" ref="V150:V154" si="103">+U150/D150</f>
        <v>#DIV/0!</v>
      </c>
      <c r="W150" s="26" t="e">
        <f>SUM(J150:V150)</f>
        <v>#DIV/0!</v>
      </c>
      <c r="X150" s="19" t="e">
        <f t="shared" ref="X150:X151" si="104">+W150/H150</f>
        <v>#DIV/0!</v>
      </c>
      <c r="Y150" s="4"/>
      <c r="Z150" s="4"/>
      <c r="AA150" s="4"/>
      <c r="AB150" s="4"/>
      <c r="AC150" s="4"/>
      <c r="AD150" s="4"/>
      <c r="AE150" s="4"/>
      <c r="AF150" s="4"/>
    </row>
    <row r="151" spans="1:32" s="3" customFormat="1" hidden="1">
      <c r="A151" s="5"/>
      <c r="B151" s="89"/>
      <c r="C151" s="43"/>
      <c r="D151" s="38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26"/>
      <c r="S151" s="26">
        <f>SUM(F151:Q151)</f>
        <v>0</v>
      </c>
      <c r="T151" s="19" t="e">
        <f t="shared" si="100"/>
        <v>#DIV/0!</v>
      </c>
      <c r="U151" s="20">
        <f t="shared" si="97"/>
        <v>0</v>
      </c>
      <c r="V151" s="21" t="e">
        <f t="shared" si="103"/>
        <v>#DIV/0!</v>
      </c>
      <c r="W151" s="26" t="e">
        <f>SUM(J151:V151)</f>
        <v>#DIV/0!</v>
      </c>
      <c r="X151" s="19" t="e">
        <f t="shared" si="104"/>
        <v>#DIV/0!</v>
      </c>
      <c r="Y151" s="4"/>
      <c r="Z151" s="4"/>
      <c r="AA151" s="4"/>
      <c r="AB151" s="4"/>
      <c r="AC151" s="4"/>
      <c r="AD151" s="4"/>
      <c r="AE151" s="4"/>
      <c r="AF151" s="4"/>
    </row>
    <row r="152" spans="1:32" s="3" customFormat="1">
      <c r="A152" s="5"/>
      <c r="B152" s="88" t="s">
        <v>169</v>
      </c>
      <c r="C152" s="24" t="s">
        <v>170</v>
      </c>
      <c r="D152" s="9">
        <f>SUM(D153:D161)</f>
        <v>5440000</v>
      </c>
      <c r="E152" s="9">
        <f>SUM(E153:E161)</f>
        <v>441666.66666666669</v>
      </c>
      <c r="F152" s="10">
        <f t="shared" ref="F152:M152" si="105">SUM(F153:F154)</f>
        <v>781163.54</v>
      </c>
      <c r="G152" s="10">
        <f t="shared" si="105"/>
        <v>0</v>
      </c>
      <c r="H152" s="10">
        <f t="shared" si="105"/>
        <v>1363972.8</v>
      </c>
      <c r="I152" s="10">
        <f t="shared" si="105"/>
        <v>0</v>
      </c>
      <c r="J152" s="10">
        <f t="shared" si="105"/>
        <v>23423</v>
      </c>
      <c r="K152" s="10">
        <f t="shared" si="105"/>
        <v>887660.9</v>
      </c>
      <c r="L152" s="10">
        <f t="shared" si="105"/>
        <v>55932</v>
      </c>
      <c r="M152" s="10">
        <f t="shared" si="105"/>
        <v>876822.6</v>
      </c>
      <c r="N152" s="10">
        <f>SUM(N153:N156)</f>
        <v>0</v>
      </c>
      <c r="O152" s="10">
        <f>SUM(O153:O154)</f>
        <v>29332.080000000002</v>
      </c>
      <c r="P152" s="10" t="e">
        <f>SUM(P153:P154)+#REF!</f>
        <v>#REF!</v>
      </c>
      <c r="Q152" s="10">
        <f>+Q153+Q154+Q155+Q156+Q160+Q161</f>
        <v>1668654.6</v>
      </c>
      <c r="R152" s="121">
        <f>SUM(R153:R156)</f>
        <v>538119.72</v>
      </c>
      <c r="S152" s="11">
        <f>SUM(S153:S161)</f>
        <v>2207524.3199999998</v>
      </c>
      <c r="T152" s="12">
        <f t="shared" si="100"/>
        <v>0.40579491176470583</v>
      </c>
      <c r="U152" s="13">
        <f>+D152-S152</f>
        <v>3232475.68</v>
      </c>
      <c r="V152" s="14">
        <f t="shared" si="103"/>
        <v>0.59420508823529417</v>
      </c>
      <c r="W152" s="96">
        <f>+W153+W154+W160+W161</f>
        <v>2989212.14</v>
      </c>
      <c r="X152" s="97">
        <f>+W152/D152</f>
        <v>0.54948752573529414</v>
      </c>
      <c r="Y152" s="4"/>
      <c r="Z152" s="4"/>
      <c r="AA152" s="4"/>
      <c r="AB152" s="4"/>
      <c r="AC152" s="4"/>
      <c r="AD152" s="4"/>
      <c r="AE152" s="4"/>
      <c r="AF152" s="4"/>
    </row>
    <row r="153" spans="1:32" s="29" customFormat="1" ht="15.75">
      <c r="A153" s="5"/>
      <c r="B153" s="73" t="s">
        <v>248</v>
      </c>
      <c r="C153" s="74" t="s">
        <v>171</v>
      </c>
      <c r="D153" s="72">
        <v>1500000</v>
      </c>
      <c r="E153" s="17">
        <f t="shared" ref="E153:E161" si="106">+D153/12</f>
        <v>125000</v>
      </c>
      <c r="F153" s="17">
        <v>781163.54</v>
      </c>
      <c r="G153" s="17"/>
      <c r="H153" s="17">
        <v>1363972.8</v>
      </c>
      <c r="I153" s="17"/>
      <c r="J153" s="17">
        <v>23423</v>
      </c>
      <c r="K153" s="17">
        <v>887660.9</v>
      </c>
      <c r="L153" s="17"/>
      <c r="M153" s="17">
        <v>876822.6</v>
      </c>
      <c r="N153" s="17"/>
      <c r="O153" s="17">
        <v>29332.080000000002</v>
      </c>
      <c r="P153" s="17">
        <v>9280</v>
      </c>
      <c r="Q153" s="83">
        <f>247800+61560.6</f>
        <v>309360.59999999998</v>
      </c>
      <c r="R153" s="122">
        <v>80500.31</v>
      </c>
      <c r="S153" s="18">
        <f t="shared" ref="S153:S163" si="107">+Q153+R153</f>
        <v>389860.91</v>
      </c>
      <c r="T153" s="19">
        <f t="shared" si="100"/>
        <v>0.2599072733333333</v>
      </c>
      <c r="U153" s="20">
        <f t="shared" ref="U153:U154" si="108">+D153-S153</f>
        <v>1110139.0900000001</v>
      </c>
      <c r="V153" s="21">
        <f t="shared" si="103"/>
        <v>0.7400927266666667</v>
      </c>
      <c r="W153" s="18">
        <f t="shared" ref="W153:W161" si="109">+D153-S153</f>
        <v>1110139.0900000001</v>
      </c>
      <c r="X153" s="19">
        <f t="shared" ref="X153:X161" si="110">+W153/D153</f>
        <v>0.7400927266666667</v>
      </c>
    </row>
    <row r="154" spans="1:32" s="29" customFormat="1" ht="15.75">
      <c r="A154" s="5"/>
      <c r="B154" s="73" t="s">
        <v>249</v>
      </c>
      <c r="C154" s="74" t="s">
        <v>172</v>
      </c>
      <c r="D154" s="72">
        <v>1500000</v>
      </c>
      <c r="E154" s="17">
        <f t="shared" si="106"/>
        <v>125000</v>
      </c>
      <c r="F154" s="17"/>
      <c r="G154" s="17"/>
      <c r="H154" s="17"/>
      <c r="I154" s="17"/>
      <c r="J154" s="17"/>
      <c r="K154" s="17"/>
      <c r="L154" s="17">
        <f>23010+32922</f>
        <v>55932</v>
      </c>
      <c r="M154" s="17"/>
      <c r="N154" s="17"/>
      <c r="O154" s="17"/>
      <c r="P154" s="17"/>
      <c r="Q154" s="83">
        <v>333586</v>
      </c>
      <c r="R154" s="122">
        <v>373266.45</v>
      </c>
      <c r="S154" s="18">
        <f t="shared" si="107"/>
        <v>706852.45</v>
      </c>
      <c r="T154" s="19">
        <f t="shared" si="100"/>
        <v>0.47123496666666664</v>
      </c>
      <c r="U154" s="20">
        <f t="shared" si="108"/>
        <v>793147.55</v>
      </c>
      <c r="V154" s="21">
        <f t="shared" si="103"/>
        <v>0.52876503333333336</v>
      </c>
      <c r="W154" s="18">
        <f t="shared" si="109"/>
        <v>793147.55</v>
      </c>
      <c r="X154" s="19">
        <f t="shared" si="110"/>
        <v>0.52876503333333336</v>
      </c>
    </row>
    <row r="155" spans="1:32" s="29" customFormat="1" ht="15.75">
      <c r="A155" s="5"/>
      <c r="B155" s="73" t="s">
        <v>291</v>
      </c>
      <c r="C155" s="74" t="s">
        <v>290</v>
      </c>
      <c r="D155" s="72">
        <v>100000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83">
        <v>0</v>
      </c>
      <c r="R155" s="122">
        <v>84352.960000000006</v>
      </c>
      <c r="S155" s="18">
        <f t="shared" si="107"/>
        <v>84352.960000000006</v>
      </c>
      <c r="T155" s="19"/>
      <c r="U155" s="20"/>
      <c r="V155" s="21"/>
      <c r="W155" s="18"/>
      <c r="X155" s="19"/>
    </row>
    <row r="156" spans="1:32" s="44" customFormat="1" ht="15.75">
      <c r="A156" s="36"/>
      <c r="B156" s="73" t="s">
        <v>278</v>
      </c>
      <c r="C156" s="28" t="s">
        <v>279</v>
      </c>
      <c r="D156" s="16">
        <v>1000000</v>
      </c>
      <c r="E156" s="17">
        <f t="shared" si="106"/>
        <v>83333.333333333328</v>
      </c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83">
        <v>811633.5</v>
      </c>
      <c r="R156" s="122">
        <v>0</v>
      </c>
      <c r="S156" s="18">
        <f t="shared" si="107"/>
        <v>811633.5</v>
      </c>
      <c r="T156" s="19">
        <f t="shared" si="100"/>
        <v>0.81163350000000001</v>
      </c>
      <c r="U156" s="16">
        <v>0</v>
      </c>
      <c r="V156" s="16"/>
      <c r="W156" s="18">
        <f t="shared" si="109"/>
        <v>188366.5</v>
      </c>
      <c r="X156" s="19">
        <f t="shared" si="110"/>
        <v>0.18836649999999999</v>
      </c>
    </row>
    <row r="157" spans="1:32" s="44" customFormat="1" ht="15.75">
      <c r="A157" s="36"/>
      <c r="B157" s="73"/>
      <c r="C157" s="28"/>
      <c r="D157" s="16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83"/>
      <c r="R157" s="122"/>
      <c r="S157" s="18"/>
      <c r="T157" s="19"/>
      <c r="U157" s="16"/>
      <c r="V157" s="16"/>
      <c r="W157" s="18"/>
      <c r="X157" s="19"/>
    </row>
    <row r="158" spans="1:32" s="44" customFormat="1" ht="15.75">
      <c r="A158" s="36"/>
      <c r="B158" s="73" t="s">
        <v>293</v>
      </c>
      <c r="C158" s="28" t="s">
        <v>292</v>
      </c>
      <c r="D158" s="16">
        <v>40000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83">
        <v>0</v>
      </c>
      <c r="R158" s="123">
        <v>750</v>
      </c>
      <c r="S158" s="18">
        <f t="shared" si="107"/>
        <v>750</v>
      </c>
      <c r="T158" s="19"/>
      <c r="U158" s="16"/>
      <c r="V158" s="16"/>
      <c r="W158" s="18"/>
      <c r="X158" s="19"/>
    </row>
    <row r="159" spans="1:32" s="44" customFormat="1" ht="15.75">
      <c r="A159" s="36"/>
      <c r="B159" s="73"/>
      <c r="C159" s="28"/>
      <c r="D159" s="16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83"/>
      <c r="R159" s="122"/>
      <c r="S159" s="18"/>
      <c r="T159" s="19"/>
      <c r="U159" s="16"/>
      <c r="V159" s="16"/>
      <c r="W159" s="18"/>
      <c r="X159" s="19"/>
    </row>
    <row r="160" spans="1:32" s="44" customFormat="1" ht="15.75">
      <c r="A160" s="36"/>
      <c r="B160" s="73" t="s">
        <v>262</v>
      </c>
      <c r="C160" s="74" t="s">
        <v>263</v>
      </c>
      <c r="D160" s="72">
        <v>500000</v>
      </c>
      <c r="E160" s="17">
        <f t="shared" si="106"/>
        <v>41666.666666666664</v>
      </c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83">
        <v>66574.5</v>
      </c>
      <c r="R160" s="122">
        <v>0</v>
      </c>
      <c r="S160" s="18">
        <f t="shared" si="107"/>
        <v>66574.5</v>
      </c>
      <c r="T160" s="19">
        <f t="shared" si="100"/>
        <v>0.13314899999999999</v>
      </c>
      <c r="U160" s="16"/>
      <c r="V160" s="16"/>
      <c r="W160" s="18">
        <f t="shared" si="109"/>
        <v>433425.5</v>
      </c>
      <c r="X160" s="19">
        <f t="shared" si="110"/>
        <v>0.86685100000000004</v>
      </c>
    </row>
    <row r="161" spans="1:24" s="44" customFormat="1" ht="15.75">
      <c r="A161" s="36"/>
      <c r="B161" s="73" t="s">
        <v>264</v>
      </c>
      <c r="C161" s="74" t="s">
        <v>265</v>
      </c>
      <c r="D161" s="72">
        <v>800000</v>
      </c>
      <c r="E161" s="17">
        <f t="shared" si="106"/>
        <v>66666.666666666672</v>
      </c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83">
        <v>147500</v>
      </c>
      <c r="R161" s="122">
        <v>0</v>
      </c>
      <c r="S161" s="18">
        <f t="shared" si="107"/>
        <v>147500</v>
      </c>
      <c r="T161" s="19">
        <f t="shared" si="100"/>
        <v>0.18437500000000001</v>
      </c>
      <c r="U161" s="16"/>
      <c r="V161" s="16"/>
      <c r="W161" s="18">
        <f t="shared" si="109"/>
        <v>652500</v>
      </c>
      <c r="X161" s="19">
        <f t="shared" si="110"/>
        <v>0.81562500000000004</v>
      </c>
    </row>
    <row r="162" spans="1:24" s="44" customFormat="1">
      <c r="A162" s="36"/>
      <c r="B162" s="88" t="s">
        <v>294</v>
      </c>
      <c r="C162" s="24" t="s">
        <v>295</v>
      </c>
      <c r="D162" s="9">
        <f>SUM(D163:D169)</f>
        <v>2439081741.46</v>
      </c>
      <c r="E162" s="9">
        <f>SUM(E163:E169)</f>
        <v>188743814.58666667</v>
      </c>
      <c r="F162" s="10">
        <f t="shared" ref="F162:M162" si="111">SUM(F163:F164)</f>
        <v>88077945.420000002</v>
      </c>
      <c r="G162" s="10">
        <f t="shared" si="111"/>
        <v>63511390.390000001</v>
      </c>
      <c r="H162" s="10">
        <f t="shared" si="111"/>
        <v>63817835.439999998</v>
      </c>
      <c r="I162" s="10">
        <f t="shared" si="111"/>
        <v>62192881.330000006</v>
      </c>
      <c r="J162" s="10">
        <f t="shared" si="111"/>
        <v>65044843.740000002</v>
      </c>
      <c r="K162" s="10">
        <f t="shared" si="111"/>
        <v>68151256.870000005</v>
      </c>
      <c r="L162" s="10">
        <f t="shared" si="111"/>
        <v>64326042.599999994</v>
      </c>
      <c r="M162" s="10">
        <f t="shared" si="111"/>
        <v>70337805.460000008</v>
      </c>
      <c r="N162" s="10" t="e">
        <f>SUM(N163:N166)</f>
        <v>#REF!</v>
      </c>
      <c r="O162" s="10">
        <f>SUM(O163:O164)</f>
        <v>65763293.75999999</v>
      </c>
      <c r="P162" s="10" t="e">
        <f>SUM(P163:P164)+#REF!</f>
        <v>#REF!</v>
      </c>
      <c r="Q162" s="10">
        <f>+Q163</f>
        <v>0</v>
      </c>
      <c r="R162" s="121">
        <f>+R163</f>
        <v>861407.41</v>
      </c>
      <c r="S162" s="11">
        <f>SUM(S163:S169)</f>
        <v>375460372.97000003</v>
      </c>
      <c r="T162" s="12">
        <f t="shared" si="100"/>
        <v>0.15393513328719141</v>
      </c>
      <c r="U162" s="13">
        <f>+D162-S162</f>
        <v>2063621368.49</v>
      </c>
      <c r="V162" s="14">
        <f t="shared" ref="V162" si="112">+U162/D162</f>
        <v>0.84606486671280856</v>
      </c>
      <c r="W162" s="96">
        <f>+W163+W164+W168+W169</f>
        <v>1008322462.02</v>
      </c>
      <c r="X162" s="97">
        <f>+W162/D162</f>
        <v>0.41340248868265989</v>
      </c>
    </row>
    <row r="163" spans="1:24" s="44" customFormat="1" ht="15.75">
      <c r="A163" s="36"/>
      <c r="B163" s="73" t="s">
        <v>296</v>
      </c>
      <c r="C163" s="74" t="s">
        <v>297</v>
      </c>
      <c r="D163" s="72">
        <v>1000000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83">
        <v>0</v>
      </c>
      <c r="R163" s="122">
        <v>861407.41</v>
      </c>
      <c r="S163" s="18">
        <f t="shared" si="107"/>
        <v>861407.41</v>
      </c>
      <c r="T163" s="19"/>
      <c r="U163" s="16"/>
      <c r="V163" s="16"/>
      <c r="W163" s="18"/>
      <c r="X163" s="19"/>
    </row>
    <row r="164" spans="1:24" s="50" customFormat="1" ht="15.75">
      <c r="A164" s="45"/>
      <c r="B164" s="88" t="s">
        <v>173</v>
      </c>
      <c r="C164" s="46"/>
      <c r="D164" s="47">
        <f t="shared" ref="D164:P164" si="113">+D152+D148+D138+D130+D119+D109+D104+D101+D96+D80+D67+D58+D56+D53+D48+D45+D42+D35+D16+D91</f>
        <v>1200674761.73</v>
      </c>
      <c r="E164" s="47">
        <f t="shared" si="113"/>
        <v>92841398.210000008</v>
      </c>
      <c r="F164" s="47">
        <f t="shared" si="113"/>
        <v>88077945.420000002</v>
      </c>
      <c r="G164" s="47">
        <f t="shared" si="113"/>
        <v>63511390.390000001</v>
      </c>
      <c r="H164" s="47">
        <f t="shared" si="113"/>
        <v>63817835.439999998</v>
      </c>
      <c r="I164" s="47">
        <f t="shared" si="113"/>
        <v>62192881.330000006</v>
      </c>
      <c r="J164" s="47">
        <f t="shared" si="113"/>
        <v>65044843.740000002</v>
      </c>
      <c r="K164" s="47">
        <f t="shared" si="113"/>
        <v>68151256.870000005</v>
      </c>
      <c r="L164" s="47">
        <f t="shared" si="113"/>
        <v>64326042.599999994</v>
      </c>
      <c r="M164" s="47">
        <f t="shared" si="113"/>
        <v>70337805.460000008</v>
      </c>
      <c r="N164" s="47">
        <f t="shared" si="113"/>
        <v>68653573.359999999</v>
      </c>
      <c r="O164" s="47">
        <f t="shared" si="113"/>
        <v>65763293.75999999</v>
      </c>
      <c r="P164" s="47" t="e">
        <f t="shared" si="113"/>
        <v>#REF!</v>
      </c>
      <c r="Q164" s="47">
        <f>+Q16+Q35+Q42+Q45+Q48+Q53+Q56+Q58+Q67+Q80+Q91+Q96+Q101+Q104+Q109+Q119+Q130+Q138+Q148+Q152</f>
        <v>93057714.61999999</v>
      </c>
      <c r="R164" s="132">
        <f>+R16+R35+R42+R45+R48+R53+R56+R58+R67+R80+R91+R96+R101+R104+R109+R119+R130+R138+R148+R152+R162</f>
        <v>97556655.980000004</v>
      </c>
      <c r="S164" s="47">
        <f>+S16+S35+S42+S45+S48+S53+S56+S58+S67+S80+S91+S96+S101+S104+S109+S119+S130+S138+S148+S152</f>
        <v>187299482.78</v>
      </c>
      <c r="T164" s="48">
        <f>+S164/D164</f>
        <v>0.15599518599868653</v>
      </c>
      <c r="U164" s="47">
        <f>+U152+U148+U138+U130+U119+U109+U104+U101+U96+U80+U67+U58+U56+U53+U48+U45+U42+U35+U16+U91</f>
        <v>923976428.98999989</v>
      </c>
      <c r="V164" s="49">
        <f>+U164/D164</f>
        <v>0.7695476397444071</v>
      </c>
      <c r="W164" s="47">
        <f>+W16+W35+W42+W45+W48+W53+W56+W58+W67+W80+W91+W96+W101+W104+W109+W119+W130+W138+W148+W152</f>
        <v>1008322462.02</v>
      </c>
      <c r="X164" s="98">
        <f>+W164/D164</f>
        <v>0.83979649956758651</v>
      </c>
    </row>
    <row r="165" spans="1:24" ht="15.75">
      <c r="B165" s="40" t="s">
        <v>174</v>
      </c>
      <c r="C165" s="51" t="s">
        <v>175</v>
      </c>
      <c r="D165" s="81">
        <v>18366109</v>
      </c>
      <c r="E165" s="82">
        <f t="shared" ref="E165" si="114">+D165/12</f>
        <v>1530509.0833333333</v>
      </c>
      <c r="F165" s="52">
        <v>18194.490000000002</v>
      </c>
      <c r="G165" s="52"/>
      <c r="H165" s="52">
        <v>11363.05</v>
      </c>
      <c r="I165" s="52"/>
      <c r="J165" s="52">
        <v>10795.98</v>
      </c>
      <c r="K165" s="52">
        <f>+D165/2+6958.49</f>
        <v>9190012.9900000002</v>
      </c>
      <c r="L165" s="52"/>
      <c r="M165" s="52">
        <v>17118.47</v>
      </c>
      <c r="N165" s="52">
        <v>16575.29</v>
      </c>
      <c r="O165" s="52"/>
      <c r="P165" s="52">
        <v>11789.53</v>
      </c>
      <c r="Q165" s="52">
        <v>0</v>
      </c>
      <c r="R165" s="133">
        <v>0</v>
      </c>
      <c r="S165" s="26">
        <f>+Q165</f>
        <v>0</v>
      </c>
      <c r="T165" s="19">
        <f>+S165/D165</f>
        <v>0</v>
      </c>
      <c r="U165" s="20">
        <f>+D165-S165</f>
        <v>18366109</v>
      </c>
      <c r="V165" s="21">
        <f>+U165/D165</f>
        <v>1</v>
      </c>
      <c r="W165" s="18">
        <f t="shared" ref="W165" si="115">+D165-S165</f>
        <v>18366109</v>
      </c>
      <c r="X165" s="19">
        <f t="shared" ref="X165" si="116">+W165/D165</f>
        <v>1</v>
      </c>
    </row>
    <row r="166" spans="1:24">
      <c r="B166" s="93"/>
      <c r="C166" s="53" t="s">
        <v>176</v>
      </c>
      <c r="D166" s="54">
        <f>+D164+D165</f>
        <v>1219040870.73</v>
      </c>
      <c r="E166" s="54">
        <f>+E164+E165</f>
        <v>94371907.293333337</v>
      </c>
      <c r="F166" s="55" t="e">
        <f>+F164+#REF!+F165</f>
        <v>#REF!</v>
      </c>
      <c r="G166" s="55" t="e">
        <f>+G164+#REF!</f>
        <v>#REF!</v>
      </c>
      <c r="H166" s="55" t="e">
        <f>+H164+#REF!+H165</f>
        <v>#REF!</v>
      </c>
      <c r="I166" s="55" t="e">
        <f>+I164+#REF!</f>
        <v>#REF!</v>
      </c>
      <c r="J166" s="55" t="e">
        <f>+J164+#REF!+J165</f>
        <v>#REF!</v>
      </c>
      <c r="K166" s="55" t="e">
        <f>+K164+#REF!+K165</f>
        <v>#REF!</v>
      </c>
      <c r="L166" s="55" t="e">
        <f>+L164+#REF!+L165</f>
        <v>#REF!</v>
      </c>
      <c r="M166" s="55">
        <f>+M164+M165</f>
        <v>70354923.930000007</v>
      </c>
      <c r="N166" s="55" t="e">
        <f>+N164+N165+#REF!</f>
        <v>#REF!</v>
      </c>
      <c r="O166" s="55" t="e">
        <f>+O164+#REF!+O165</f>
        <v>#REF!</v>
      </c>
      <c r="P166" s="55" t="e">
        <f>+P164+#REF!+P165</f>
        <v>#REF!</v>
      </c>
      <c r="Q166" s="55">
        <f>+Q164+Q165</f>
        <v>93057714.61999999</v>
      </c>
      <c r="R166" s="134">
        <f>+R164+R165</f>
        <v>97556655.980000004</v>
      </c>
      <c r="S166" s="55">
        <f>+S164+S165</f>
        <v>187299482.78</v>
      </c>
      <c r="T166" s="12">
        <f>+S166/D166</f>
        <v>0.15364495750486132</v>
      </c>
      <c r="U166" s="56" t="e">
        <f>+U164+#REF!+U165</f>
        <v>#REF!</v>
      </c>
      <c r="V166" s="14" t="e">
        <f>+U166/D166</f>
        <v>#REF!</v>
      </c>
      <c r="W166" s="55">
        <f>+W164+W165</f>
        <v>1026688571.02</v>
      </c>
      <c r="X166" s="99">
        <f>+W166/D166</f>
        <v>0.84221013066213812</v>
      </c>
    </row>
    <row r="167" spans="1:24">
      <c r="A167" s="37"/>
      <c r="B167" s="58"/>
      <c r="C167" s="58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135"/>
      <c r="S167" s="59"/>
      <c r="T167" s="59"/>
      <c r="U167" s="59"/>
      <c r="V167" s="60"/>
      <c r="W167" s="59"/>
      <c r="X167" s="59"/>
    </row>
    <row r="168" spans="1:24" ht="15.75">
      <c r="A168" s="37"/>
      <c r="B168" s="100"/>
      <c r="C168" s="51"/>
      <c r="D168" s="81"/>
      <c r="E168" s="8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133"/>
      <c r="S168" s="26"/>
      <c r="T168" s="19"/>
      <c r="U168" s="20"/>
      <c r="V168" s="21"/>
      <c r="W168" s="96"/>
      <c r="X168" s="97"/>
    </row>
    <row r="169" spans="1:24">
      <c r="A169" s="37"/>
      <c r="B169" s="58"/>
      <c r="C169" s="58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135">
        <f>+R17+R22+R28+R31+R35+R42+R45+R48+R53+R56+R58+R67+R80+R91+R96+R104+R109+R119+R130+R138+R148+R152+R162+R158</f>
        <v>88517555.939999998</v>
      </c>
      <c r="S169" s="101"/>
      <c r="T169" s="59"/>
      <c r="U169" s="59"/>
      <c r="V169" s="60"/>
      <c r="W169" s="59"/>
      <c r="X169" s="59"/>
    </row>
    <row r="170" spans="1:24">
      <c r="A170" s="37"/>
      <c r="B170" s="58"/>
      <c r="C170" s="58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135"/>
      <c r="S170" s="59"/>
      <c r="T170" s="59"/>
      <c r="U170" s="59"/>
      <c r="V170" s="60"/>
      <c r="W170" s="59"/>
      <c r="X170" s="59"/>
    </row>
    <row r="171" spans="1:24">
      <c r="A171" s="37"/>
      <c r="B171" s="58"/>
      <c r="C171" s="58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135"/>
      <c r="S171" s="59"/>
      <c r="T171" s="59"/>
      <c r="U171" s="59"/>
      <c r="V171" s="60"/>
      <c r="W171" s="59"/>
      <c r="X171" s="59"/>
    </row>
    <row r="172" spans="1:24">
      <c r="A172" s="37"/>
      <c r="B172" s="58"/>
      <c r="C172" s="58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135"/>
      <c r="S172" s="59"/>
      <c r="T172" s="59"/>
      <c r="U172" s="59"/>
      <c r="V172" s="60"/>
      <c r="W172" s="59"/>
      <c r="X172" s="59"/>
    </row>
    <row r="173" spans="1:24" ht="18">
      <c r="A173" s="37"/>
      <c r="B173" s="61"/>
      <c r="C173" s="62"/>
      <c r="D173" s="62"/>
      <c r="E173" s="63"/>
      <c r="F173" s="64"/>
      <c r="G173" s="65"/>
      <c r="H173" s="65"/>
      <c r="I173" s="65"/>
      <c r="J173" s="65"/>
      <c r="K173" s="189"/>
      <c r="L173" s="184"/>
      <c r="M173" s="184"/>
      <c r="N173" s="184"/>
      <c r="O173" s="57"/>
      <c r="P173" s="57"/>
      <c r="Q173" s="57"/>
      <c r="R173" s="136"/>
      <c r="S173" s="66"/>
      <c r="T173" s="66"/>
      <c r="W173" s="66"/>
    </row>
    <row r="174" spans="1:24" ht="15.75">
      <c r="A174" s="37"/>
      <c r="B174" s="184" t="s">
        <v>251</v>
      </c>
      <c r="C174" s="184"/>
      <c r="D174" s="184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</row>
    <row r="175" spans="1:24">
      <c r="A175" s="37"/>
      <c r="B175" s="185" t="s">
        <v>252</v>
      </c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</row>
    <row r="176" spans="1:24">
      <c r="A176" s="37"/>
      <c r="B176" s="185" t="s">
        <v>253</v>
      </c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</row>
    <row r="177" spans="1:23" s="58" customFormat="1">
      <c r="A177" s="37"/>
      <c r="K177" s="66"/>
      <c r="L177" s="67">
        <v>96933866.989999995</v>
      </c>
      <c r="M177" s="66">
        <v>76141518.280000001</v>
      </c>
      <c r="N177" s="66">
        <v>73127007.900000006</v>
      </c>
      <c r="O177" s="66"/>
      <c r="P177" s="66">
        <f>+P175-P176</f>
        <v>0</v>
      </c>
      <c r="R177" s="118"/>
      <c r="S177" s="66"/>
      <c r="W177" s="66"/>
    </row>
    <row r="178" spans="1:23" s="58" customFormat="1">
      <c r="A178" s="37"/>
      <c r="D178" s="66"/>
      <c r="H178" s="66"/>
      <c r="I178" s="66"/>
      <c r="K178" s="66"/>
      <c r="L178" s="66">
        <f>+L176-L177</f>
        <v>-96933866.989999995</v>
      </c>
      <c r="M178" s="66">
        <f>+M177-M176</f>
        <v>76141518.280000001</v>
      </c>
      <c r="N178" s="66">
        <f>+N176-N177</f>
        <v>-73127007.900000006</v>
      </c>
      <c r="O178" s="66"/>
      <c r="Q178" s="66"/>
      <c r="R178" s="137"/>
    </row>
    <row r="179" spans="1:23" s="58" customFormat="1">
      <c r="A179" s="37"/>
      <c r="D179" s="66"/>
      <c r="I179" s="66">
        <v>442308.16</v>
      </c>
      <c r="M179" s="66"/>
      <c r="Q179" s="66"/>
      <c r="R179" s="137"/>
    </row>
    <row r="180" spans="1:23" s="58" customFormat="1">
      <c r="A180" s="37"/>
      <c r="I180" s="66" t="e">
        <f>+I179+I166</f>
        <v>#REF!</v>
      </c>
      <c r="J180" s="66"/>
      <c r="Q180" s="66"/>
      <c r="R180" s="137"/>
    </row>
    <row r="181" spans="1:23" s="58" customFormat="1">
      <c r="A181" s="37"/>
      <c r="I181" s="66" t="e">
        <f>+I180-64056504.95</f>
        <v>#REF!</v>
      </c>
      <c r="R181" s="118"/>
    </row>
    <row r="182" spans="1:23" s="58" customFormat="1">
      <c r="A182" s="37"/>
      <c r="R182" s="118"/>
    </row>
    <row r="183" spans="1:23" s="58" customFormat="1">
      <c r="A183" s="37"/>
      <c r="R183" s="118"/>
    </row>
    <row r="184" spans="1:23" s="58" customFormat="1">
      <c r="A184" s="37"/>
      <c r="R184" s="118"/>
    </row>
    <row r="185" spans="1:23" s="58" customFormat="1">
      <c r="A185" s="37"/>
      <c r="R185" s="118"/>
    </row>
    <row r="186" spans="1:23" s="58" customFormat="1">
      <c r="A186" s="37"/>
      <c r="R186" s="118"/>
    </row>
    <row r="187" spans="1:23" s="58" customFormat="1">
      <c r="A187" s="37"/>
      <c r="R187" s="118"/>
    </row>
    <row r="188" spans="1:23" s="58" customFormat="1">
      <c r="A188" s="37"/>
      <c r="R188" s="118"/>
    </row>
    <row r="189" spans="1:23" s="58" customFormat="1">
      <c r="A189" s="37"/>
      <c r="R189" s="118"/>
    </row>
    <row r="190" spans="1:23" s="58" customFormat="1">
      <c r="A190" s="37"/>
      <c r="R190" s="118"/>
    </row>
    <row r="191" spans="1:23" s="58" customFormat="1">
      <c r="A191" s="37"/>
      <c r="R191" s="118"/>
    </row>
    <row r="192" spans="1:23" s="58" customFormat="1">
      <c r="A192" s="37"/>
      <c r="R192" s="118"/>
    </row>
    <row r="193" spans="1:24" s="58" customFormat="1">
      <c r="A193" s="37"/>
      <c r="R193" s="118"/>
    </row>
    <row r="194" spans="1:24">
      <c r="D194" s="58"/>
      <c r="E194" s="58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38"/>
      <c r="S194" s="4"/>
      <c r="T194" s="4"/>
      <c r="W194" s="4"/>
      <c r="X194" s="4"/>
    </row>
    <row r="195" spans="1:24">
      <c r="D195" s="58"/>
      <c r="E195" s="58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38"/>
      <c r="S195" s="4"/>
      <c r="T195" s="4"/>
      <c r="W195" s="4"/>
      <c r="X195" s="4"/>
    </row>
    <row r="196" spans="1:24">
      <c r="D196" s="58"/>
      <c r="E196" s="58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38"/>
      <c r="S196" s="4"/>
      <c r="T196" s="4"/>
      <c r="W196" s="4"/>
      <c r="X196" s="4"/>
    </row>
  </sheetData>
  <mergeCells count="15">
    <mergeCell ref="B8:X8"/>
    <mergeCell ref="C2:C3"/>
    <mergeCell ref="B4:X4"/>
    <mergeCell ref="B5:X5"/>
    <mergeCell ref="B6:X6"/>
    <mergeCell ref="B7:X7"/>
    <mergeCell ref="B174:X174"/>
    <mergeCell ref="B175:X175"/>
    <mergeCell ref="B176:X176"/>
    <mergeCell ref="B9:X9"/>
    <mergeCell ref="B13:B15"/>
    <mergeCell ref="C13:C15"/>
    <mergeCell ref="E13:U13"/>
    <mergeCell ref="Q14:R14"/>
    <mergeCell ref="K173:N173"/>
  </mergeCells>
  <pageMargins left="0.31496062992125984" right="0.15748031496062992" top="0.31496062992125984" bottom="0.35433070866141736" header="0.74803149606299213" footer="0.15748031496062992"/>
  <pageSetup paperSize="5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92"/>
  <sheetViews>
    <sheetView tabSelected="1" topLeftCell="C1" zoomScale="124" zoomScaleNormal="124" workbookViewId="0">
      <selection activeCell="Z169" sqref="Z169"/>
    </sheetView>
  </sheetViews>
  <sheetFormatPr baseColWidth="10" defaultRowHeight="15"/>
  <cols>
    <col min="1" max="1" width="10.42578125" style="4" customWidth="1"/>
    <col min="2" max="2" width="49.28515625" style="4" customWidth="1"/>
    <col min="3" max="3" width="17.140625" style="4" bestFit="1" customWidth="1"/>
    <col min="4" max="4" width="15.140625" style="68" hidden="1" customWidth="1"/>
    <col min="5" max="7" width="14.28515625" style="58" hidden="1" customWidth="1"/>
    <col min="8" max="8" width="15.140625" style="58" hidden="1" customWidth="1"/>
    <col min="9" max="15" width="14.28515625" style="58" hidden="1" customWidth="1"/>
    <col min="16" max="17" width="14.42578125" style="58" bestFit="1" customWidth="1"/>
    <col min="18" max="19" width="14.85546875" style="58" bestFit="1" customWidth="1"/>
    <col min="20" max="20" width="11.28515625" style="58" bestFit="1" customWidth="1"/>
    <col min="21" max="21" width="15" style="4" hidden="1" customWidth="1"/>
    <col min="22" max="22" width="13.85546875" style="4" hidden="1" customWidth="1"/>
    <col min="23" max="23" width="16.5703125" style="58" bestFit="1" customWidth="1"/>
    <col min="24" max="24" width="9.7109375" style="58" bestFit="1" customWidth="1"/>
    <col min="25" max="16384" width="11.42578125" style="4"/>
  </cols>
  <sheetData>
    <row r="1" spans="1:32">
      <c r="D1" s="58"/>
    </row>
    <row r="2" spans="1:32">
      <c r="A2" s="2"/>
      <c r="B2" s="186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2"/>
      <c r="X2" s="2"/>
    </row>
    <row r="3" spans="1:32">
      <c r="A3" s="2"/>
      <c r="B3" s="186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2"/>
      <c r="X3" s="2"/>
    </row>
    <row r="4" spans="1:32" ht="15.75">
      <c r="A4" s="183" t="s">
        <v>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32" ht="18.75">
      <c r="A5" s="188" t="s">
        <v>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</row>
    <row r="6" spans="1:32" ht="16.5" customHeight="1">
      <c r="A6" s="188" t="s">
        <v>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</row>
    <row r="7" spans="1:32" ht="15.75">
      <c r="A7" s="183" t="s">
        <v>3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</row>
    <row r="8" spans="1:32">
      <c r="A8" s="187" t="s">
        <v>177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</row>
    <row r="9" spans="1:32" ht="15.75">
      <c r="A9" s="183" t="s">
        <v>178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</row>
    <row r="10" spans="1:32" ht="6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2"/>
      <c r="X10" s="2"/>
    </row>
    <row r="11" spans="1:32" ht="6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2"/>
      <c r="X11" s="2"/>
    </row>
    <row r="12" spans="1:32" ht="6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2"/>
      <c r="X12" s="2"/>
    </row>
    <row r="13" spans="1:32" ht="19.5" customHeight="1">
      <c r="A13" s="160" t="s">
        <v>4</v>
      </c>
      <c r="B13" s="179" t="s">
        <v>5</v>
      </c>
      <c r="C13" s="142">
        <v>2019</v>
      </c>
      <c r="D13" s="141">
        <v>2019</v>
      </c>
      <c r="E13" s="180" t="s">
        <v>6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90" t="s">
        <v>6</v>
      </c>
      <c r="Q13" s="190"/>
      <c r="R13" s="190"/>
      <c r="S13" s="146" t="s">
        <v>7</v>
      </c>
      <c r="T13" s="146" t="s">
        <v>8</v>
      </c>
      <c r="U13" s="154" t="s">
        <v>7</v>
      </c>
      <c r="V13" s="154" t="s">
        <v>9</v>
      </c>
      <c r="W13" s="155" t="s">
        <v>277</v>
      </c>
      <c r="X13" s="155" t="s">
        <v>8</v>
      </c>
    </row>
    <row r="14" spans="1:32" ht="15" customHeight="1">
      <c r="A14" s="161"/>
      <c r="B14" s="182"/>
      <c r="C14" s="143" t="s">
        <v>10</v>
      </c>
      <c r="D14" s="141" t="s">
        <v>11</v>
      </c>
      <c r="E14" s="104" t="s">
        <v>12</v>
      </c>
      <c r="F14" s="104" t="s">
        <v>13</v>
      </c>
      <c r="G14" s="104" t="s">
        <v>14</v>
      </c>
      <c r="H14" s="104" t="s">
        <v>15</v>
      </c>
      <c r="I14" s="104" t="s">
        <v>16</v>
      </c>
      <c r="J14" s="104" t="s">
        <v>17</v>
      </c>
      <c r="K14" s="104" t="s">
        <v>18</v>
      </c>
      <c r="L14" s="104" t="s">
        <v>19</v>
      </c>
      <c r="M14" s="104" t="s">
        <v>20</v>
      </c>
      <c r="N14" s="104" t="s">
        <v>21</v>
      </c>
      <c r="O14" s="104" t="s">
        <v>22</v>
      </c>
      <c r="P14" s="104" t="s">
        <v>12</v>
      </c>
      <c r="Q14" s="104" t="s">
        <v>13</v>
      </c>
      <c r="R14" s="144" t="s">
        <v>14</v>
      </c>
      <c r="S14" s="147" t="s">
        <v>23</v>
      </c>
      <c r="T14" s="147" t="s">
        <v>23</v>
      </c>
      <c r="U14" s="154" t="s">
        <v>24</v>
      </c>
      <c r="V14" s="154" t="s">
        <v>24</v>
      </c>
      <c r="W14" s="156" t="s">
        <v>276</v>
      </c>
      <c r="X14" s="156" t="s">
        <v>276</v>
      </c>
    </row>
    <row r="15" spans="1:32">
      <c r="A15" s="87" t="s">
        <v>25</v>
      </c>
      <c r="B15" s="8" t="s">
        <v>26</v>
      </c>
      <c r="C15" s="115">
        <f t="shared" ref="C15:O15" si="0">SUM(C16:C28)</f>
        <v>1062257849</v>
      </c>
      <c r="D15" s="9">
        <f t="shared" si="0"/>
        <v>82447488.815833345</v>
      </c>
      <c r="E15" s="105">
        <f t="shared" si="0"/>
        <v>80064906.939999998</v>
      </c>
      <c r="F15" s="105">
        <f t="shared" si="0"/>
        <v>51857716.390000001</v>
      </c>
      <c r="G15" s="105">
        <f t="shared" si="0"/>
        <v>51436438.82</v>
      </c>
      <c r="H15" s="105">
        <f t="shared" si="0"/>
        <v>51135379.960000001</v>
      </c>
      <c r="I15" s="105">
        <f t="shared" si="0"/>
        <v>51547466.620000005</v>
      </c>
      <c r="J15" s="105">
        <f t="shared" si="0"/>
        <v>51961921.140000001</v>
      </c>
      <c r="K15" s="105">
        <f t="shared" si="0"/>
        <v>52069267.640000001</v>
      </c>
      <c r="L15" s="105">
        <f t="shared" si="0"/>
        <v>52285582.730000004</v>
      </c>
      <c r="M15" s="105">
        <f t="shared" si="0"/>
        <v>55652936.899999999</v>
      </c>
      <c r="N15" s="105">
        <f t="shared" si="0"/>
        <v>53489623.989999995</v>
      </c>
      <c r="O15" s="105">
        <f t="shared" si="0"/>
        <v>53852557.870000005</v>
      </c>
      <c r="P15" s="105">
        <f>+P16+P17+P18+P19+P20+P21+P22+P23+P24+P25+P26+P27+P28</f>
        <v>78057684.830000013</v>
      </c>
      <c r="Q15" s="105">
        <f>SUM(Q16:Q28)</f>
        <v>81668997.269999996</v>
      </c>
      <c r="R15" s="105">
        <f>SUM(R16:R28)</f>
        <v>80058905.63000001</v>
      </c>
      <c r="S15" s="145">
        <f>+P15+Q15</f>
        <v>159726682.10000002</v>
      </c>
      <c r="T15" s="151">
        <f t="shared" ref="T15:T29" si="1">+S15/C15</f>
        <v>0.1503652641873772</v>
      </c>
      <c r="U15" s="153">
        <f>SUM(U16:U28)</f>
        <v>804292466.89999998</v>
      </c>
      <c r="V15" s="159">
        <f>+U15/C15</f>
        <v>0.75715370581366259</v>
      </c>
      <c r="W15" s="153">
        <f>SUM(W16:W28)</f>
        <v>902531166.89999998</v>
      </c>
      <c r="X15" s="159">
        <f t="shared" ref="X15:X29" si="2">+W15/C15</f>
        <v>0.84963473581262283</v>
      </c>
    </row>
    <row r="16" spans="1:32">
      <c r="A16" s="163" t="s">
        <v>179</v>
      </c>
      <c r="B16" s="164" t="s">
        <v>27</v>
      </c>
      <c r="C16" s="165">
        <f>818941536.08-43200000-74019000</f>
        <v>701722536.08000004</v>
      </c>
      <c r="D16" s="17">
        <f>+C16/12</f>
        <v>58476878.006666668</v>
      </c>
      <c r="E16" s="17">
        <v>27924644.98</v>
      </c>
      <c r="F16" s="17">
        <v>27888683.829999998</v>
      </c>
      <c r="G16" s="17">
        <v>28053912.460000001</v>
      </c>
      <c r="H16" s="17">
        <v>27810505.199999999</v>
      </c>
      <c r="I16" s="17">
        <v>27998340.260000002</v>
      </c>
      <c r="J16" s="17">
        <v>28467424.780000001</v>
      </c>
      <c r="K16" s="17">
        <v>28396849.280000001</v>
      </c>
      <c r="L16" s="17">
        <v>28713505.370000001</v>
      </c>
      <c r="M16" s="17">
        <v>29135451.539999999</v>
      </c>
      <c r="N16" s="17">
        <f>29532570.63+112500</f>
        <v>29645070.629999999</v>
      </c>
      <c r="O16" s="17">
        <v>29419040.66</v>
      </c>
      <c r="P16" s="83">
        <f>54049614.37</f>
        <v>54049614.369999997</v>
      </c>
      <c r="Q16" s="83">
        <v>55380397.229999997</v>
      </c>
      <c r="R16" s="83">
        <v>55025775.359999999</v>
      </c>
      <c r="S16" s="18">
        <f>+P16+Q16</f>
        <v>109430011.59999999</v>
      </c>
      <c r="T16" s="19">
        <f t="shared" si="1"/>
        <v>0.15594484425611266</v>
      </c>
      <c r="U16" s="20">
        <f>+C16-S16</f>
        <v>592292524.48000002</v>
      </c>
      <c r="V16" s="21">
        <f>+U16/C16</f>
        <v>0.84405515574388734</v>
      </c>
      <c r="W16" s="18">
        <f t="shared" ref="W16:W28" si="3">+C16-S16</f>
        <v>592292524.48000002</v>
      </c>
      <c r="X16" s="19">
        <f t="shared" si="2"/>
        <v>0.84405515574388734</v>
      </c>
      <c r="Y16" s="3"/>
      <c r="Z16" s="3"/>
      <c r="AA16" s="3"/>
      <c r="AB16" s="3"/>
      <c r="AC16" s="3"/>
      <c r="AD16" s="3"/>
      <c r="AE16" s="3"/>
      <c r="AF16" s="3"/>
    </row>
    <row r="17" spans="1:32">
      <c r="A17" s="163" t="s">
        <v>180</v>
      </c>
      <c r="B17" s="164" t="s">
        <v>266</v>
      </c>
      <c r="C17" s="165">
        <v>96000000</v>
      </c>
      <c r="D17" s="17">
        <f t="shared" ref="D17:D28" si="4">+C17/12</f>
        <v>8000000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83">
        <f>8000000+3600000</f>
        <v>11600000</v>
      </c>
      <c r="Q17" s="83">
        <f>10000000+3600000</f>
        <v>13600000</v>
      </c>
      <c r="R17" s="83">
        <v>15300000</v>
      </c>
      <c r="S17" s="18">
        <f t="shared" ref="S17:S28" si="5">+P17+Q17</f>
        <v>25200000</v>
      </c>
      <c r="T17" s="19">
        <f t="shared" si="1"/>
        <v>0.26250000000000001</v>
      </c>
      <c r="U17" s="20">
        <f>+C17-S17</f>
        <v>70800000</v>
      </c>
      <c r="V17" s="21">
        <f>+U17/C17</f>
        <v>0.73750000000000004</v>
      </c>
      <c r="W17" s="18">
        <f t="shared" si="3"/>
        <v>70800000</v>
      </c>
      <c r="X17" s="19">
        <f t="shared" si="2"/>
        <v>0.73750000000000004</v>
      </c>
      <c r="Y17" s="3"/>
      <c r="Z17" s="3"/>
      <c r="AA17" s="3"/>
      <c r="AB17" s="3"/>
      <c r="AC17" s="3"/>
      <c r="AD17" s="3"/>
      <c r="AE17" s="3"/>
      <c r="AF17" s="3"/>
    </row>
    <row r="18" spans="1:32">
      <c r="A18" s="163" t="s">
        <v>180</v>
      </c>
      <c r="B18" s="164" t="s">
        <v>181</v>
      </c>
      <c r="C18" s="165">
        <f>3600000*12</f>
        <v>43200000</v>
      </c>
      <c r="D18" s="17">
        <f>+C18/12</f>
        <v>3600000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83">
        <v>3600000</v>
      </c>
      <c r="Q18" s="83">
        <v>3600000</v>
      </c>
      <c r="R18" s="83">
        <v>0</v>
      </c>
      <c r="S18" s="18">
        <f t="shared" si="5"/>
        <v>7200000</v>
      </c>
      <c r="T18" s="19">
        <f t="shared" si="1"/>
        <v>0.16666666666666666</v>
      </c>
      <c r="U18" s="20"/>
      <c r="V18" s="21"/>
      <c r="W18" s="18">
        <f t="shared" si="3"/>
        <v>36000000</v>
      </c>
      <c r="X18" s="19">
        <f t="shared" si="2"/>
        <v>0.83333333333333337</v>
      </c>
      <c r="Y18" s="3"/>
      <c r="Z18" s="3"/>
      <c r="AA18" s="3"/>
      <c r="AB18" s="3"/>
      <c r="AC18" s="3"/>
      <c r="AD18" s="3"/>
      <c r="AE18" s="3"/>
      <c r="AF18" s="3"/>
    </row>
    <row r="19" spans="1:32">
      <c r="A19" s="163" t="s">
        <v>182</v>
      </c>
      <c r="B19" s="164" t="s">
        <v>28</v>
      </c>
      <c r="C19" s="165">
        <v>72887983.209999993</v>
      </c>
      <c r="D19" s="17">
        <v>0</v>
      </c>
      <c r="E19" s="17">
        <f>45500+9436260.36+27000</f>
        <v>9508760.3599999994</v>
      </c>
      <c r="F19" s="17">
        <f>45500+9676760.36</f>
        <v>9722260.3599999994</v>
      </c>
      <c r="G19" s="17">
        <f>9740060.36+45500</f>
        <v>9785560.3599999994</v>
      </c>
      <c r="H19" s="17">
        <v>9685656.3599999994</v>
      </c>
      <c r="I19" s="17">
        <f>91000+9667386.36</f>
        <v>9758386.3599999994</v>
      </c>
      <c r="J19" s="17">
        <f>45500+9868072.36</f>
        <v>9913572.3599999994</v>
      </c>
      <c r="K19" s="17">
        <f>45500+9841102.36</f>
        <v>9886602.3599999994</v>
      </c>
      <c r="L19" s="17">
        <f>45500+9893477.36</f>
        <v>9938977.3599999994</v>
      </c>
      <c r="M19" s="17">
        <f>45500+9995807.36</f>
        <v>10041307.359999999</v>
      </c>
      <c r="N19" s="17">
        <f>45500+10059107.36</f>
        <v>10104607.359999999</v>
      </c>
      <c r="O19" s="17">
        <f>45500+10143125.21</f>
        <v>10188625.210000001</v>
      </c>
      <c r="P19" s="83">
        <v>0</v>
      </c>
      <c r="Q19" s="83">
        <v>11250</v>
      </c>
      <c r="R19" s="83">
        <v>0</v>
      </c>
      <c r="S19" s="18">
        <f t="shared" si="5"/>
        <v>11250</v>
      </c>
      <c r="T19" s="19">
        <f t="shared" si="1"/>
        <v>1.5434643002245309E-4</v>
      </c>
      <c r="U19" s="20">
        <f>+C19-S19</f>
        <v>72876733.209999993</v>
      </c>
      <c r="V19" s="21">
        <f>+U19/C19</f>
        <v>0.99984565356997757</v>
      </c>
      <c r="W19" s="18">
        <f t="shared" si="3"/>
        <v>72876733.209999993</v>
      </c>
      <c r="X19" s="19">
        <f t="shared" si="2"/>
        <v>0.99984565356997757</v>
      </c>
      <c r="Y19" s="3"/>
      <c r="Z19" s="3"/>
      <c r="AA19" s="3"/>
      <c r="AB19" s="3"/>
      <c r="AC19" s="3"/>
      <c r="AD19" s="3"/>
      <c r="AE19" s="3"/>
      <c r="AF19" s="3"/>
    </row>
    <row r="20" spans="1:32" s="22" customFormat="1">
      <c r="A20" s="163" t="s">
        <v>183</v>
      </c>
      <c r="B20" s="164" t="s">
        <v>29</v>
      </c>
      <c r="C20" s="165">
        <v>27933012.93</v>
      </c>
      <c r="D20" s="17">
        <f t="shared" si="4"/>
        <v>2327751.0775000001</v>
      </c>
      <c r="E20" s="17">
        <v>3495501.6</v>
      </c>
      <c r="F20" s="17">
        <v>5110772.2</v>
      </c>
      <c r="G20" s="17">
        <v>4485966</v>
      </c>
      <c r="H20" s="17">
        <v>4493218.4000000004</v>
      </c>
      <c r="I20" s="17">
        <v>4595590</v>
      </c>
      <c r="J20" s="17">
        <v>4385774</v>
      </c>
      <c r="K20" s="17">
        <v>4564816</v>
      </c>
      <c r="L20" s="17">
        <v>4442100</v>
      </c>
      <c r="M20" s="17">
        <v>5199178</v>
      </c>
      <c r="N20" s="17">
        <v>4478946</v>
      </c>
      <c r="O20" s="17">
        <v>4983892</v>
      </c>
      <c r="P20" s="83">
        <v>1244681</v>
      </c>
      <c r="Q20" s="83">
        <v>1585002</v>
      </c>
      <c r="R20" s="83">
        <v>2197737</v>
      </c>
      <c r="S20" s="18">
        <f t="shared" si="5"/>
        <v>2829683</v>
      </c>
      <c r="T20" s="19">
        <f t="shared" si="1"/>
        <v>0.10130246268425008</v>
      </c>
      <c r="U20" s="20">
        <f>+C20-S20</f>
        <v>25103329.93</v>
      </c>
      <c r="V20" s="21">
        <f>+U20/C20</f>
        <v>0.89869753731574997</v>
      </c>
      <c r="W20" s="18">
        <f t="shared" si="3"/>
        <v>25103329.93</v>
      </c>
      <c r="X20" s="19">
        <f t="shared" si="2"/>
        <v>0.89869753731574997</v>
      </c>
      <c r="Y20" s="3"/>
      <c r="Z20" s="3"/>
      <c r="AA20" s="3"/>
      <c r="AB20" s="3"/>
      <c r="AC20" s="3"/>
      <c r="AD20" s="3"/>
      <c r="AE20" s="3"/>
      <c r="AF20" s="3"/>
    </row>
    <row r="21" spans="1:32" s="2" customFormat="1">
      <c r="A21" s="163" t="s">
        <v>267</v>
      </c>
      <c r="B21" s="164" t="s">
        <v>268</v>
      </c>
      <c r="C21" s="165">
        <f>6168250*12</f>
        <v>74019000</v>
      </c>
      <c r="D21" s="17">
        <f>+C21/12</f>
        <v>6168250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83">
        <f>45500+6168250</f>
        <v>6213750</v>
      </c>
      <c r="Q21" s="83">
        <v>6291550</v>
      </c>
      <c r="R21" s="83">
        <f>6287900+45500</f>
        <v>6333400</v>
      </c>
      <c r="S21" s="18">
        <f t="shared" si="5"/>
        <v>12505300</v>
      </c>
      <c r="T21" s="19">
        <f t="shared" si="1"/>
        <v>0.16894716221510694</v>
      </c>
      <c r="U21" s="20"/>
      <c r="V21" s="21"/>
      <c r="W21" s="18">
        <f t="shared" si="3"/>
        <v>61513700</v>
      </c>
      <c r="X21" s="19">
        <f t="shared" si="2"/>
        <v>0.83105283778489303</v>
      </c>
      <c r="Y21" s="3"/>
      <c r="Z21" s="3"/>
      <c r="AA21" s="3"/>
      <c r="AB21" s="3"/>
      <c r="AC21" s="3"/>
      <c r="AD21" s="3"/>
      <c r="AE21" s="3"/>
      <c r="AF21" s="3"/>
    </row>
    <row r="22" spans="1:32" s="2" customFormat="1">
      <c r="A22" s="163" t="s">
        <v>184</v>
      </c>
      <c r="B22" s="164" t="s">
        <v>185</v>
      </c>
      <c r="C22" s="165">
        <v>1560000</v>
      </c>
      <c r="D22" s="17">
        <f t="shared" si="4"/>
        <v>130000</v>
      </c>
      <c r="E22" s="17">
        <v>38000000</v>
      </c>
      <c r="F22" s="17">
        <v>8000000</v>
      </c>
      <c r="G22" s="17">
        <v>8000000</v>
      </c>
      <c r="H22" s="17">
        <v>8000000</v>
      </c>
      <c r="I22" s="17">
        <v>8000000</v>
      </c>
      <c r="J22" s="17">
        <v>8000000</v>
      </c>
      <c r="K22" s="17">
        <v>8000000</v>
      </c>
      <c r="L22" s="17">
        <v>8000000</v>
      </c>
      <c r="M22" s="17">
        <v>8000000</v>
      </c>
      <c r="N22" s="17">
        <v>8000000</v>
      </c>
      <c r="O22" s="17">
        <v>8000000</v>
      </c>
      <c r="P22" s="83">
        <v>0</v>
      </c>
      <c r="Q22" s="83">
        <v>0</v>
      </c>
      <c r="R22" s="83">
        <v>0</v>
      </c>
      <c r="S22" s="18">
        <f t="shared" si="5"/>
        <v>0</v>
      </c>
      <c r="T22" s="19">
        <f t="shared" si="1"/>
        <v>0</v>
      </c>
      <c r="U22" s="20">
        <f>+C22-S22</f>
        <v>1560000</v>
      </c>
      <c r="V22" s="21">
        <f>+U22/C22</f>
        <v>1</v>
      </c>
      <c r="W22" s="18">
        <f t="shared" si="3"/>
        <v>1560000</v>
      </c>
      <c r="X22" s="19">
        <f t="shared" si="2"/>
        <v>1</v>
      </c>
    </row>
    <row r="23" spans="1:32" s="2" customFormat="1">
      <c r="A23" s="163" t="s">
        <v>282</v>
      </c>
      <c r="B23" s="166" t="s">
        <v>281</v>
      </c>
      <c r="C23" s="165">
        <v>350000</v>
      </c>
      <c r="D23" s="17">
        <f t="shared" si="4"/>
        <v>29166.666666666668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84">
        <v>0</v>
      </c>
      <c r="Q23" s="84">
        <v>0</v>
      </c>
      <c r="R23" s="83">
        <v>0</v>
      </c>
      <c r="S23" s="18">
        <f t="shared" si="5"/>
        <v>0</v>
      </c>
      <c r="T23" s="19">
        <f t="shared" si="1"/>
        <v>0</v>
      </c>
      <c r="U23" s="20"/>
      <c r="V23" s="21"/>
      <c r="W23" s="18">
        <f t="shared" si="3"/>
        <v>350000</v>
      </c>
      <c r="X23" s="19">
        <f t="shared" si="2"/>
        <v>1</v>
      </c>
    </row>
    <row r="24" spans="1:32" s="2" customFormat="1">
      <c r="A24" s="163" t="s">
        <v>254</v>
      </c>
      <c r="B24" s="94" t="s">
        <v>269</v>
      </c>
      <c r="C24" s="95">
        <f>450000+30000+37000-700-66300</f>
        <v>450000</v>
      </c>
      <c r="D24" s="17">
        <f>+C24/12</f>
        <v>37500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84">
        <v>37500</v>
      </c>
      <c r="Q24" s="84">
        <v>37500</v>
      </c>
      <c r="R24" s="83">
        <v>37500</v>
      </c>
      <c r="S24" s="18">
        <f t="shared" si="5"/>
        <v>75000</v>
      </c>
      <c r="T24" s="19">
        <f t="shared" si="1"/>
        <v>0.16666666666666666</v>
      </c>
      <c r="U24" s="20"/>
      <c r="V24" s="21"/>
      <c r="W24" s="18">
        <f t="shared" si="3"/>
        <v>375000</v>
      </c>
      <c r="X24" s="19">
        <f t="shared" si="2"/>
        <v>0.83333333333333337</v>
      </c>
    </row>
    <row r="25" spans="1:32" s="2" customFormat="1">
      <c r="A25" s="163" t="s">
        <v>186</v>
      </c>
      <c r="B25" s="164" t="s">
        <v>30</v>
      </c>
      <c r="C25" s="165">
        <v>2000000</v>
      </c>
      <c r="D25" s="17">
        <f t="shared" si="4"/>
        <v>166666.66666666666</v>
      </c>
      <c r="E25" s="23">
        <v>1098500</v>
      </c>
      <c r="F25" s="23">
        <v>1098500</v>
      </c>
      <c r="G25" s="23">
        <v>1073500</v>
      </c>
      <c r="H25" s="23">
        <v>1108500</v>
      </c>
      <c r="I25" s="23">
        <v>1157650</v>
      </c>
      <c r="J25" s="23">
        <v>1157650</v>
      </c>
      <c r="K25" s="23">
        <v>1183500</v>
      </c>
      <c r="L25" s="23">
        <v>1153500</v>
      </c>
      <c r="M25" s="23">
        <v>1223500</v>
      </c>
      <c r="N25" s="23">
        <v>1223500</v>
      </c>
      <c r="O25" s="23">
        <v>1223500</v>
      </c>
      <c r="P25" s="84">
        <v>0</v>
      </c>
      <c r="Q25" s="84">
        <v>0</v>
      </c>
      <c r="R25" s="83">
        <v>0</v>
      </c>
      <c r="S25" s="18">
        <f t="shared" si="5"/>
        <v>0</v>
      </c>
      <c r="T25" s="19">
        <f t="shared" si="1"/>
        <v>0</v>
      </c>
      <c r="U25" s="20">
        <f>+C25-S25</f>
        <v>2000000</v>
      </c>
      <c r="V25" s="21">
        <f>+U25/C25</f>
        <v>1</v>
      </c>
      <c r="W25" s="18">
        <f t="shared" si="3"/>
        <v>2000000</v>
      </c>
      <c r="X25" s="19">
        <f t="shared" si="2"/>
        <v>1</v>
      </c>
    </row>
    <row r="26" spans="1:32" s="2" customFormat="1">
      <c r="A26" s="163" t="s">
        <v>187</v>
      </c>
      <c r="B26" s="164" t="s">
        <v>31</v>
      </c>
      <c r="C26" s="167">
        <v>24738781.219999999</v>
      </c>
      <c r="D26" s="17">
        <f t="shared" si="4"/>
        <v>2061565.1016666666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84">
        <v>1068646.56</v>
      </c>
      <c r="Q26" s="84">
        <v>1007055.59</v>
      </c>
      <c r="R26" s="83">
        <v>1008090.29</v>
      </c>
      <c r="S26" s="18">
        <f t="shared" si="5"/>
        <v>2075702.15</v>
      </c>
      <c r="T26" s="19">
        <f t="shared" si="1"/>
        <v>8.3904786235867765E-2</v>
      </c>
      <c r="U26" s="20">
        <f>+C26-S26</f>
        <v>22663079.07</v>
      </c>
      <c r="V26" s="21">
        <f>+U26/C26</f>
        <v>0.91609521376413228</v>
      </c>
      <c r="W26" s="18">
        <f t="shared" si="3"/>
        <v>22663079.07</v>
      </c>
      <c r="X26" s="19">
        <f t="shared" si="2"/>
        <v>0.91609521376413228</v>
      </c>
    </row>
    <row r="27" spans="1:32" s="2" customFormat="1">
      <c r="A27" s="163" t="s">
        <v>188</v>
      </c>
      <c r="B27" s="164" t="s">
        <v>32</v>
      </c>
      <c r="C27" s="167">
        <f>37579220.56-50000-250000-6000000-5000000-500000-1000000-500000-800000-200000-150000-300000-100000-3800000-350000-250000-50000-340000-152370-508000-3000-2500000-400000-500000-1000000</f>
        <v>12875850.560000002</v>
      </c>
      <c r="D27" s="17">
        <f t="shared" si="4"/>
        <v>1072987.5466666669</v>
      </c>
      <c r="E27" s="23">
        <v>37500</v>
      </c>
      <c r="F27" s="23">
        <v>37500</v>
      </c>
      <c r="G27" s="23">
        <v>37500</v>
      </c>
      <c r="H27" s="23">
        <v>37500</v>
      </c>
      <c r="I27" s="23">
        <v>37500</v>
      </c>
      <c r="J27" s="23">
        <v>37500</v>
      </c>
      <c r="K27" s="23">
        <v>37500</v>
      </c>
      <c r="L27" s="23">
        <v>37500</v>
      </c>
      <c r="M27" s="23">
        <v>37500</v>
      </c>
      <c r="N27" s="23">
        <v>37500</v>
      </c>
      <c r="O27" s="23">
        <v>37500</v>
      </c>
      <c r="P27" s="84">
        <v>0</v>
      </c>
      <c r="Q27" s="84">
        <v>0</v>
      </c>
      <c r="R27" s="83">
        <v>0</v>
      </c>
      <c r="S27" s="18">
        <f t="shared" si="5"/>
        <v>0</v>
      </c>
      <c r="T27" s="19">
        <f t="shared" si="1"/>
        <v>0</v>
      </c>
      <c r="U27" s="20">
        <f>+C27-S27</f>
        <v>12875850.560000002</v>
      </c>
      <c r="V27" s="21">
        <f>+U27/C27</f>
        <v>1</v>
      </c>
      <c r="W27" s="18">
        <f t="shared" si="3"/>
        <v>12875850.560000002</v>
      </c>
      <c r="X27" s="19">
        <f t="shared" si="2"/>
        <v>1</v>
      </c>
    </row>
    <row r="28" spans="1:32" s="22" customFormat="1">
      <c r="A28" s="163" t="s">
        <v>188</v>
      </c>
      <c r="B28" s="164" t="s">
        <v>189</v>
      </c>
      <c r="C28" s="167">
        <v>4520685</v>
      </c>
      <c r="D28" s="17">
        <f t="shared" si="4"/>
        <v>376723.75</v>
      </c>
      <c r="E28" s="23"/>
      <c r="F28" s="23"/>
      <c r="G28" s="23"/>
      <c r="H28" s="23"/>
      <c r="I28" s="23"/>
      <c r="J28" s="23"/>
      <c r="K28" s="23"/>
      <c r="L28" s="23"/>
      <c r="M28" s="23">
        <v>2016000</v>
      </c>
      <c r="N28" s="23"/>
      <c r="O28" s="23"/>
      <c r="P28" s="84">
        <v>243492.9</v>
      </c>
      <c r="Q28" s="84">
        <v>156242.45000000001</v>
      </c>
      <c r="R28" s="83">
        <v>156402.98000000001</v>
      </c>
      <c r="S28" s="18">
        <f t="shared" si="5"/>
        <v>399735.35</v>
      </c>
      <c r="T28" s="19">
        <f t="shared" si="1"/>
        <v>8.8423623853464681E-2</v>
      </c>
      <c r="U28" s="20">
        <f>+C28-S28</f>
        <v>4120949.65</v>
      </c>
      <c r="V28" s="21">
        <f>+U28/C28</f>
        <v>0.91157637614653531</v>
      </c>
      <c r="W28" s="18">
        <f t="shared" si="3"/>
        <v>4120949.65</v>
      </c>
      <c r="X28" s="19">
        <f t="shared" si="2"/>
        <v>0.91157637614653531</v>
      </c>
      <c r="Y28" s="3"/>
      <c r="Z28" s="3"/>
      <c r="AA28" s="3"/>
      <c r="AB28" s="3"/>
      <c r="AC28" s="3"/>
      <c r="AD28" s="3"/>
      <c r="AE28" s="3"/>
      <c r="AF28" s="3"/>
    </row>
    <row r="29" spans="1:32" s="22" customFormat="1">
      <c r="A29" s="88" t="s">
        <v>33</v>
      </c>
      <c r="B29" s="24" t="s">
        <v>34</v>
      </c>
      <c r="C29" s="9">
        <f t="shared" ref="C29:O29" si="6">SUM(C31:C35)</f>
        <v>17770000</v>
      </c>
      <c r="D29" s="9">
        <f>SUM(D31:D35)</f>
        <v>1464166.666666667</v>
      </c>
      <c r="E29" s="10">
        <f t="shared" si="6"/>
        <v>449011.13999999996</v>
      </c>
      <c r="F29" s="10">
        <f t="shared" si="6"/>
        <v>3773527.8</v>
      </c>
      <c r="G29" s="10">
        <f t="shared" si="6"/>
        <v>2153878.67</v>
      </c>
      <c r="H29" s="10">
        <f t="shared" si="6"/>
        <v>1851543.62</v>
      </c>
      <c r="I29" s="10">
        <f t="shared" si="6"/>
        <v>1530016.42</v>
      </c>
      <c r="J29" s="10">
        <f t="shared" si="6"/>
        <v>2580164.09</v>
      </c>
      <c r="K29" s="10">
        <f t="shared" si="6"/>
        <v>2033453.5899999999</v>
      </c>
      <c r="L29" s="10">
        <f t="shared" si="6"/>
        <v>2025557.28</v>
      </c>
      <c r="M29" s="10">
        <f>SUM(M31:M35)</f>
        <v>2675976.4900000002</v>
      </c>
      <c r="N29" s="10">
        <f>SUM(N31:N35)</f>
        <v>2197579.83</v>
      </c>
      <c r="O29" s="10">
        <f t="shared" si="6"/>
        <v>2103354.17</v>
      </c>
      <c r="P29" s="10">
        <f>+P31+P32+P33+P34+P35</f>
        <v>2159972.88</v>
      </c>
      <c r="Q29" s="10">
        <f>+Q31+Q32+Q33+Q34+Q35</f>
        <v>640390.98</v>
      </c>
      <c r="R29" s="10">
        <f>SUM(R31:R35)</f>
        <v>4652515.5</v>
      </c>
      <c r="S29" s="11">
        <f>+S31+S32+S34+S35</f>
        <v>2763940.4000000004</v>
      </c>
      <c r="T29" s="12">
        <f t="shared" si="1"/>
        <v>0.15553969611705123</v>
      </c>
      <c r="U29" s="13">
        <f>SUM(U31:U35)</f>
        <v>14806059.6</v>
      </c>
      <c r="V29" s="14">
        <f>+U29/C29</f>
        <v>0.83320537985368592</v>
      </c>
      <c r="W29" s="96">
        <f>SUM(W31:W35)</f>
        <v>14806059.6</v>
      </c>
      <c r="X29" s="97">
        <f t="shared" si="2"/>
        <v>0.83320537985368592</v>
      </c>
      <c r="Y29" s="3"/>
      <c r="Z29" s="3"/>
      <c r="AA29" s="3"/>
      <c r="AB29" s="3"/>
      <c r="AC29" s="3"/>
      <c r="AD29" s="3"/>
      <c r="AE29" s="3"/>
      <c r="AF29" s="3"/>
    </row>
    <row r="30" spans="1:32" s="22" customFormat="1" hidden="1">
      <c r="A30" s="92" t="s">
        <v>35</v>
      </c>
      <c r="B30" s="15" t="s">
        <v>36</v>
      </c>
      <c r="C30" s="25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25"/>
      <c r="V30" s="25"/>
      <c r="W30" s="17"/>
      <c r="X30" s="17"/>
      <c r="Y30" s="3"/>
      <c r="Z30" s="3"/>
      <c r="AA30" s="3"/>
      <c r="AB30" s="3"/>
      <c r="AC30" s="3"/>
      <c r="AD30" s="3"/>
      <c r="AE30" s="3"/>
      <c r="AF30" s="3"/>
    </row>
    <row r="31" spans="1:32" s="22" customFormat="1">
      <c r="A31" s="163" t="s">
        <v>190</v>
      </c>
      <c r="B31" s="164" t="s">
        <v>37</v>
      </c>
      <c r="C31" s="167">
        <v>15950000</v>
      </c>
      <c r="D31" s="17">
        <f t="shared" ref="D31:D44" si="7">+C31/12</f>
        <v>1329166.6666666667</v>
      </c>
      <c r="E31" s="17">
        <v>2610.16</v>
      </c>
      <c r="F31" s="17">
        <v>3071543.26</v>
      </c>
      <c r="G31" s="17">
        <v>1607829</v>
      </c>
      <c r="H31" s="17">
        <v>1098196.6200000001</v>
      </c>
      <c r="I31" s="17">
        <v>509161.48</v>
      </c>
      <c r="J31" s="17">
        <v>1685180.01</v>
      </c>
      <c r="K31" s="17">
        <v>1185608.23</v>
      </c>
      <c r="L31" s="17">
        <v>1371395.24</v>
      </c>
      <c r="M31" s="17">
        <v>2092198.21</v>
      </c>
      <c r="N31" s="17">
        <v>1605600.46</v>
      </c>
      <c r="O31" s="17">
        <v>1517491.66</v>
      </c>
      <c r="P31" s="83">
        <v>1545874.8</v>
      </c>
      <c r="Q31" s="83">
        <v>144569.60000000001</v>
      </c>
      <c r="R31" s="83">
        <v>3860402.52</v>
      </c>
      <c r="S31" s="18">
        <f t="shared" ref="S31:S61" si="8">+P31+Q31</f>
        <v>1690444.4000000001</v>
      </c>
      <c r="T31" s="19">
        <f>+S31/C31</f>
        <v>0.1059839749216301</v>
      </c>
      <c r="U31" s="20">
        <f>+C31-S31</f>
        <v>14259555.6</v>
      </c>
      <c r="V31" s="21">
        <f>+U31/C31</f>
        <v>0.89401602507836986</v>
      </c>
      <c r="W31" s="18">
        <f>+C31-S31</f>
        <v>14259555.6</v>
      </c>
      <c r="X31" s="19">
        <f>+W31/C31</f>
        <v>0.89401602507836986</v>
      </c>
      <c r="Y31" s="3"/>
      <c r="Z31" s="3"/>
      <c r="AA31" s="3"/>
      <c r="AB31" s="3"/>
      <c r="AC31" s="3"/>
      <c r="AD31" s="3"/>
      <c r="AE31" s="3"/>
      <c r="AF31" s="3"/>
    </row>
    <row r="32" spans="1:32" s="22" customFormat="1">
      <c r="A32" s="163" t="s">
        <v>191</v>
      </c>
      <c r="B32" s="164" t="s">
        <v>38</v>
      </c>
      <c r="C32" s="167">
        <v>1310000</v>
      </c>
      <c r="D32" s="17">
        <f t="shared" si="7"/>
        <v>109166.66666666667</v>
      </c>
      <c r="E32" s="17">
        <v>427259.98</v>
      </c>
      <c r="F32" s="17">
        <v>691439.54</v>
      </c>
      <c r="G32" s="17">
        <v>521969.67</v>
      </c>
      <c r="H32" s="17">
        <v>748640</v>
      </c>
      <c r="I32" s="17">
        <v>994174.94</v>
      </c>
      <c r="J32" s="17">
        <v>880052.08</v>
      </c>
      <c r="K32" s="17">
        <v>844111.35999999999</v>
      </c>
      <c r="L32" s="17">
        <v>627293.04</v>
      </c>
      <c r="M32" s="17">
        <v>567633.28</v>
      </c>
      <c r="N32" s="17">
        <v>569559.37</v>
      </c>
      <c r="O32" s="17">
        <v>574850.51</v>
      </c>
      <c r="P32" s="83">
        <v>573921.07999999996</v>
      </c>
      <c r="Q32" s="83">
        <v>455731.92</v>
      </c>
      <c r="R32" s="83">
        <v>753122.98</v>
      </c>
      <c r="S32" s="18">
        <f t="shared" si="8"/>
        <v>1029653</v>
      </c>
      <c r="T32" s="19">
        <f>+S32/C32</f>
        <v>0.7859946564885496</v>
      </c>
      <c r="U32" s="20">
        <f>+C32-S32</f>
        <v>280347</v>
      </c>
      <c r="V32" s="21">
        <f>+U32/C32</f>
        <v>0.21400534351145037</v>
      </c>
      <c r="W32" s="18">
        <f>+C32-S32</f>
        <v>280347</v>
      </c>
      <c r="X32" s="19">
        <f>+W32/C32</f>
        <v>0.21400534351145037</v>
      </c>
      <c r="Y32" s="3"/>
      <c r="Z32" s="3"/>
      <c r="AA32" s="3"/>
      <c r="AB32" s="3"/>
      <c r="AC32" s="3"/>
      <c r="AD32" s="3"/>
      <c r="AE32" s="3"/>
      <c r="AF32" s="3"/>
    </row>
    <row r="33" spans="1:32" s="22" customFormat="1">
      <c r="A33" s="163" t="s">
        <v>284</v>
      </c>
      <c r="B33" s="164" t="s">
        <v>283</v>
      </c>
      <c r="C33" s="167">
        <v>200000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83">
        <v>0</v>
      </c>
      <c r="Q33" s="83">
        <v>36423.46</v>
      </c>
      <c r="R33" s="83">
        <v>0</v>
      </c>
      <c r="S33" s="18">
        <f t="shared" si="8"/>
        <v>36423.46</v>
      </c>
      <c r="T33" s="19"/>
      <c r="U33" s="20"/>
      <c r="V33" s="21"/>
      <c r="W33" s="18"/>
      <c r="X33" s="19"/>
      <c r="Y33" s="3"/>
      <c r="Z33" s="3"/>
      <c r="AA33" s="3"/>
      <c r="AB33" s="3"/>
      <c r="AC33" s="3"/>
      <c r="AD33" s="3"/>
      <c r="AE33" s="3"/>
      <c r="AF33" s="3"/>
    </row>
    <row r="34" spans="1:32" s="22" customFormat="1">
      <c r="A34" s="163" t="s">
        <v>192</v>
      </c>
      <c r="B34" s="164" t="s">
        <v>39</v>
      </c>
      <c r="C34" s="167">
        <v>260000</v>
      </c>
      <c r="D34" s="17">
        <f t="shared" si="7"/>
        <v>21666.666666666668</v>
      </c>
      <c r="E34" s="17">
        <v>10569</v>
      </c>
      <c r="F34" s="17">
        <v>10545</v>
      </c>
      <c r="G34" s="17">
        <v>15634</v>
      </c>
      <c r="H34" s="17">
        <v>827</v>
      </c>
      <c r="I34" s="17">
        <v>22345</v>
      </c>
      <c r="J34" s="17">
        <v>10995</v>
      </c>
      <c r="K34" s="17">
        <v>3734</v>
      </c>
      <c r="L34" s="17">
        <v>22213</v>
      </c>
      <c r="M34" s="17">
        <v>12265</v>
      </c>
      <c r="N34" s="17">
        <v>18085</v>
      </c>
      <c r="O34" s="17">
        <v>11012</v>
      </c>
      <c r="P34" s="83">
        <v>21827</v>
      </c>
      <c r="Q34" s="83">
        <v>3666</v>
      </c>
      <c r="R34" s="83">
        <v>24516</v>
      </c>
      <c r="S34" s="18">
        <f t="shared" si="8"/>
        <v>25493</v>
      </c>
      <c r="T34" s="19">
        <f t="shared" ref="T34:T44" si="9">+S34/C34</f>
        <v>9.8049999999999998E-2</v>
      </c>
      <c r="U34" s="20">
        <f t="shared" ref="U34:U44" si="10">+C34-S34</f>
        <v>234507</v>
      </c>
      <c r="V34" s="21">
        <f t="shared" ref="V34:V44" si="11">+U34/C34</f>
        <v>0.90195000000000003</v>
      </c>
      <c r="W34" s="18">
        <f>+C34-S34</f>
        <v>234507</v>
      </c>
      <c r="X34" s="19">
        <f t="shared" ref="X34:X44" si="12">+W34/C34</f>
        <v>0.90195000000000003</v>
      </c>
      <c r="Y34" s="3"/>
      <c r="Z34" s="3"/>
      <c r="AA34" s="3"/>
      <c r="AB34" s="3"/>
      <c r="AC34" s="3"/>
      <c r="AD34" s="3"/>
      <c r="AE34" s="3"/>
      <c r="AF34" s="3"/>
    </row>
    <row r="35" spans="1:32" s="22" customFormat="1">
      <c r="A35" s="163" t="s">
        <v>193</v>
      </c>
      <c r="B35" s="164" t="s">
        <v>40</v>
      </c>
      <c r="C35" s="167">
        <v>50000</v>
      </c>
      <c r="D35" s="17">
        <f t="shared" si="7"/>
        <v>4166.666666666667</v>
      </c>
      <c r="E35" s="17">
        <v>8572</v>
      </c>
      <c r="F35" s="17"/>
      <c r="G35" s="17">
        <v>8446</v>
      </c>
      <c r="H35" s="17">
        <v>3880</v>
      </c>
      <c r="I35" s="17">
        <v>4335</v>
      </c>
      <c r="J35" s="17">
        <v>3937</v>
      </c>
      <c r="K35" s="17"/>
      <c r="L35" s="17">
        <v>4656</v>
      </c>
      <c r="M35" s="17">
        <v>3880</v>
      </c>
      <c r="N35" s="17">
        <v>4335</v>
      </c>
      <c r="O35" s="17"/>
      <c r="P35" s="83">
        <v>18350</v>
      </c>
      <c r="Q35" s="83">
        <v>0</v>
      </c>
      <c r="R35" s="83">
        <v>14474</v>
      </c>
      <c r="S35" s="18">
        <f t="shared" si="8"/>
        <v>18350</v>
      </c>
      <c r="T35" s="19">
        <f t="shared" si="9"/>
        <v>0.36699999999999999</v>
      </c>
      <c r="U35" s="20">
        <f t="shared" si="10"/>
        <v>31650</v>
      </c>
      <c r="V35" s="21">
        <f t="shared" si="11"/>
        <v>0.63300000000000001</v>
      </c>
      <c r="W35" s="18">
        <f>+C35-S35</f>
        <v>31650</v>
      </c>
      <c r="X35" s="19">
        <f t="shared" si="12"/>
        <v>0.63300000000000001</v>
      </c>
      <c r="Y35" s="3"/>
      <c r="Z35" s="3"/>
      <c r="AA35" s="3"/>
      <c r="AB35" s="3"/>
      <c r="AC35" s="3"/>
      <c r="AD35" s="3"/>
      <c r="AE35" s="3"/>
      <c r="AF35" s="3"/>
    </row>
    <row r="36" spans="1:32" s="22" customFormat="1">
      <c r="A36" s="88" t="s">
        <v>41</v>
      </c>
      <c r="B36" s="24" t="s">
        <v>42</v>
      </c>
      <c r="C36" s="9">
        <f t="shared" ref="C36:O36" si="13">SUM(C37:C38)</f>
        <v>802370</v>
      </c>
      <c r="D36" s="9">
        <f t="shared" si="13"/>
        <v>66864.166666666657</v>
      </c>
      <c r="E36" s="10">
        <f t="shared" si="13"/>
        <v>737</v>
      </c>
      <c r="F36" s="10">
        <f t="shared" si="13"/>
        <v>2460</v>
      </c>
      <c r="G36" s="10">
        <f t="shared" si="13"/>
        <v>1165.5</v>
      </c>
      <c r="H36" s="10">
        <f t="shared" si="13"/>
        <v>2915.66</v>
      </c>
      <c r="I36" s="10">
        <f t="shared" si="13"/>
        <v>0</v>
      </c>
      <c r="J36" s="10">
        <f t="shared" si="13"/>
        <v>0</v>
      </c>
      <c r="K36" s="10">
        <f t="shared" si="13"/>
        <v>5490.54</v>
      </c>
      <c r="L36" s="10">
        <f t="shared" si="13"/>
        <v>118</v>
      </c>
      <c r="M36" s="10">
        <f t="shared" si="13"/>
        <v>2663.53</v>
      </c>
      <c r="N36" s="10">
        <f t="shared" si="13"/>
        <v>0</v>
      </c>
      <c r="O36" s="10">
        <f t="shared" si="13"/>
        <v>1752.47</v>
      </c>
      <c r="P36" s="10">
        <f>+P37+P38</f>
        <v>426880.23</v>
      </c>
      <c r="Q36" s="10">
        <f>+Q37+Q38</f>
        <v>229533.04</v>
      </c>
      <c r="R36" s="10">
        <f>+R37+R38</f>
        <v>236061.56</v>
      </c>
      <c r="S36" s="11">
        <f>+S37+S38</f>
        <v>656413.27</v>
      </c>
      <c r="T36" s="12">
        <f t="shared" si="9"/>
        <v>0.81809298702593569</v>
      </c>
      <c r="U36" s="13">
        <f t="shared" si="10"/>
        <v>145956.72999999998</v>
      </c>
      <c r="V36" s="14">
        <f t="shared" si="11"/>
        <v>0.18190701297406431</v>
      </c>
      <c r="W36" s="96">
        <f>SUM(W37:W38)</f>
        <v>145956.72999999998</v>
      </c>
      <c r="X36" s="97">
        <f t="shared" si="12"/>
        <v>0.18190701297406431</v>
      </c>
      <c r="Y36" s="3"/>
      <c r="Z36" s="3"/>
      <c r="AA36" s="3"/>
      <c r="AB36" s="3"/>
      <c r="AC36" s="3"/>
      <c r="AD36" s="3"/>
      <c r="AE36" s="3"/>
      <c r="AF36" s="3"/>
    </row>
    <row r="37" spans="1:32" s="22" customFormat="1">
      <c r="A37" s="163" t="s">
        <v>194</v>
      </c>
      <c r="B37" s="164" t="s">
        <v>43</v>
      </c>
      <c r="C37" s="167">
        <v>652370</v>
      </c>
      <c r="D37" s="17">
        <f t="shared" si="7"/>
        <v>54364.166666666664</v>
      </c>
      <c r="E37" s="17">
        <v>737</v>
      </c>
      <c r="F37" s="17">
        <v>50</v>
      </c>
      <c r="G37" s="17"/>
      <c r="H37" s="17"/>
      <c r="I37" s="17"/>
      <c r="J37" s="17"/>
      <c r="K37" s="17"/>
      <c r="L37" s="17"/>
      <c r="M37" s="17"/>
      <c r="N37" s="17"/>
      <c r="O37" s="17"/>
      <c r="P37" s="83">
        <v>423774.12</v>
      </c>
      <c r="Q37" s="83">
        <v>228595.04</v>
      </c>
      <c r="R37" s="83">
        <v>228595.04</v>
      </c>
      <c r="S37" s="18">
        <f t="shared" si="8"/>
        <v>652369.16</v>
      </c>
      <c r="T37" s="19">
        <f t="shared" si="9"/>
        <v>0.99999871238714233</v>
      </c>
      <c r="U37" s="20">
        <f t="shared" si="10"/>
        <v>0.83999999996740371</v>
      </c>
      <c r="V37" s="21">
        <f t="shared" si="11"/>
        <v>1.2876128576841421E-6</v>
      </c>
      <c r="W37" s="18">
        <f>+C37-S37</f>
        <v>0.83999999996740371</v>
      </c>
      <c r="X37" s="19">
        <f t="shared" si="12"/>
        <v>1.2876128576841421E-6</v>
      </c>
      <c r="Y37" s="3"/>
      <c r="Z37" s="3"/>
      <c r="AA37" s="3"/>
      <c r="AB37" s="3"/>
      <c r="AC37" s="3"/>
      <c r="AD37" s="3"/>
      <c r="AE37" s="3"/>
      <c r="AF37" s="3"/>
    </row>
    <row r="38" spans="1:32" s="22" customFormat="1">
      <c r="A38" s="163" t="s">
        <v>195</v>
      </c>
      <c r="B38" s="164" t="s">
        <v>196</v>
      </c>
      <c r="C38" s="167">
        <v>150000</v>
      </c>
      <c r="D38" s="17">
        <f t="shared" si="7"/>
        <v>12500</v>
      </c>
      <c r="E38" s="17"/>
      <c r="F38" s="17">
        <v>2410</v>
      </c>
      <c r="G38" s="17">
        <v>1165.5</v>
      </c>
      <c r="H38" s="17">
        <v>2915.66</v>
      </c>
      <c r="I38" s="17"/>
      <c r="J38" s="17"/>
      <c r="K38" s="17">
        <v>5490.54</v>
      </c>
      <c r="L38" s="17">
        <v>118</v>
      </c>
      <c r="M38" s="17">
        <v>2663.53</v>
      </c>
      <c r="N38" s="17"/>
      <c r="O38" s="17">
        <v>1752.47</v>
      </c>
      <c r="P38" s="83">
        <v>3106.11</v>
      </c>
      <c r="Q38" s="83">
        <v>938</v>
      </c>
      <c r="R38" s="83">
        <v>7466.52</v>
      </c>
      <c r="S38" s="18">
        <f t="shared" si="8"/>
        <v>4044.11</v>
      </c>
      <c r="T38" s="19">
        <f t="shared" si="9"/>
        <v>2.6960733333333334E-2</v>
      </c>
      <c r="U38" s="20">
        <f t="shared" si="10"/>
        <v>145955.89000000001</v>
      </c>
      <c r="V38" s="21">
        <f t="shared" si="11"/>
        <v>0.97303926666666674</v>
      </c>
      <c r="W38" s="18">
        <f>+C38-S38</f>
        <v>145955.89000000001</v>
      </c>
      <c r="X38" s="19">
        <f t="shared" si="12"/>
        <v>0.97303926666666674</v>
      </c>
      <c r="Y38" s="3"/>
      <c r="Z38" s="3"/>
      <c r="AA38" s="3"/>
      <c r="AB38" s="3"/>
      <c r="AC38" s="3"/>
      <c r="AD38" s="3"/>
      <c r="AE38" s="3"/>
      <c r="AF38" s="3"/>
    </row>
    <row r="39" spans="1:32" s="22" customFormat="1">
      <c r="A39" s="88" t="s">
        <v>44</v>
      </c>
      <c r="B39" s="24" t="s">
        <v>45</v>
      </c>
      <c r="C39" s="9">
        <f t="shared" ref="C39:O39" si="14">SUM(C40:C41)</f>
        <v>3400000</v>
      </c>
      <c r="D39" s="9">
        <f>SUM(D40:D41)</f>
        <v>283333.33333333331</v>
      </c>
      <c r="E39" s="10">
        <f t="shared" si="14"/>
        <v>177471.03</v>
      </c>
      <c r="F39" s="10">
        <f t="shared" si="14"/>
        <v>305156.64</v>
      </c>
      <c r="G39" s="10">
        <f t="shared" si="14"/>
        <v>262545</v>
      </c>
      <c r="H39" s="10">
        <f t="shared" si="14"/>
        <v>829507.03</v>
      </c>
      <c r="I39" s="10">
        <f t="shared" si="14"/>
        <v>831989.64</v>
      </c>
      <c r="J39" s="10">
        <f t="shared" si="14"/>
        <v>440219.75</v>
      </c>
      <c r="K39" s="10">
        <f t="shared" si="14"/>
        <v>878813.81</v>
      </c>
      <c r="L39" s="10">
        <f t="shared" si="14"/>
        <v>543819.54</v>
      </c>
      <c r="M39" s="10">
        <f t="shared" si="14"/>
        <v>399895.55</v>
      </c>
      <c r="N39" s="10">
        <f t="shared" si="14"/>
        <v>582206.17999999993</v>
      </c>
      <c r="O39" s="10">
        <f t="shared" si="14"/>
        <v>151977</v>
      </c>
      <c r="P39" s="10">
        <f>+P40+P41</f>
        <v>443509.8</v>
      </c>
      <c r="Q39" s="10">
        <f>+Q40+Q41</f>
        <v>228943.52</v>
      </c>
      <c r="R39" s="10">
        <f>+R40+R41</f>
        <v>647884.43999999994</v>
      </c>
      <c r="S39" s="11">
        <f>+S40+S41</f>
        <v>672453.32</v>
      </c>
      <c r="T39" s="12">
        <f t="shared" si="9"/>
        <v>0.19778038823529409</v>
      </c>
      <c r="U39" s="13">
        <f t="shared" si="10"/>
        <v>2727546.68</v>
      </c>
      <c r="V39" s="14">
        <f t="shared" si="11"/>
        <v>0.80221961176470591</v>
      </c>
      <c r="W39" s="96">
        <f>+W40+W41</f>
        <v>2727546.68</v>
      </c>
      <c r="X39" s="97">
        <f t="shared" si="12"/>
        <v>0.80221961176470591</v>
      </c>
      <c r="Y39" s="3"/>
      <c r="Z39" s="3"/>
      <c r="AA39" s="3"/>
      <c r="AB39" s="3"/>
      <c r="AC39" s="3"/>
      <c r="AD39" s="3"/>
      <c r="AE39" s="3"/>
      <c r="AF39" s="3"/>
    </row>
    <row r="40" spans="1:32" s="22" customFormat="1">
      <c r="A40" s="163" t="s">
        <v>197</v>
      </c>
      <c r="B40" s="164" t="s">
        <v>46</v>
      </c>
      <c r="C40" s="167">
        <f>3000000-450000</f>
        <v>2550000</v>
      </c>
      <c r="D40" s="17">
        <f t="shared" si="7"/>
        <v>212500</v>
      </c>
      <c r="E40" s="17">
        <v>159720</v>
      </c>
      <c r="F40" s="17">
        <v>272010</v>
      </c>
      <c r="G40" s="17">
        <v>170444</v>
      </c>
      <c r="H40" s="17">
        <v>273583</v>
      </c>
      <c r="I40" s="17">
        <v>291740</v>
      </c>
      <c r="J40" s="17">
        <v>226313.37</v>
      </c>
      <c r="K40" s="17">
        <v>497164</v>
      </c>
      <c r="L40" s="17">
        <v>245500</v>
      </c>
      <c r="M40" s="17">
        <v>149560</v>
      </c>
      <c r="N40" s="17">
        <v>174170</v>
      </c>
      <c r="O40" s="17">
        <v>136250</v>
      </c>
      <c r="P40" s="83">
        <v>242400</v>
      </c>
      <c r="Q40" s="83">
        <v>184500</v>
      </c>
      <c r="R40" s="83">
        <v>259716</v>
      </c>
      <c r="S40" s="18">
        <f t="shared" si="8"/>
        <v>426900</v>
      </c>
      <c r="T40" s="19">
        <f t="shared" si="9"/>
        <v>0.16741176470588234</v>
      </c>
      <c r="U40" s="20">
        <f t="shared" si="10"/>
        <v>2123100</v>
      </c>
      <c r="V40" s="21">
        <f t="shared" si="11"/>
        <v>0.83258823529411763</v>
      </c>
      <c r="W40" s="18">
        <f>+C40-S40</f>
        <v>2123100</v>
      </c>
      <c r="X40" s="19">
        <f t="shared" si="12"/>
        <v>0.83258823529411763</v>
      </c>
      <c r="Y40" s="3"/>
      <c r="Z40" s="3"/>
      <c r="AA40" s="3"/>
      <c r="AB40" s="3"/>
      <c r="AC40" s="3"/>
      <c r="AD40" s="3"/>
      <c r="AE40" s="3"/>
      <c r="AF40" s="3"/>
    </row>
    <row r="41" spans="1:32" s="22" customFormat="1">
      <c r="A41" s="163" t="s">
        <v>198</v>
      </c>
      <c r="B41" s="164" t="s">
        <v>47</v>
      </c>
      <c r="C41" s="167">
        <v>850000</v>
      </c>
      <c r="D41" s="17">
        <f t="shared" si="7"/>
        <v>70833.333333333328</v>
      </c>
      <c r="E41" s="17">
        <v>17751.03</v>
      </c>
      <c r="F41" s="17">
        <v>33146.639999999999</v>
      </c>
      <c r="G41" s="17">
        <v>92101</v>
      </c>
      <c r="H41" s="17">
        <v>555924.03</v>
      </c>
      <c r="I41" s="17">
        <v>540249.64</v>
      </c>
      <c r="J41" s="17">
        <v>213906.38</v>
      </c>
      <c r="K41" s="17">
        <v>381649.81</v>
      </c>
      <c r="L41" s="17">
        <v>298319.53999999998</v>
      </c>
      <c r="M41" s="17">
        <v>250335.55</v>
      </c>
      <c r="N41" s="17">
        <v>408036.18</v>
      </c>
      <c r="O41" s="17">
        <v>15727</v>
      </c>
      <c r="P41" s="83">
        <v>201109.8</v>
      </c>
      <c r="Q41" s="83">
        <v>44443.519999999997</v>
      </c>
      <c r="R41" s="83">
        <v>388168.44</v>
      </c>
      <c r="S41" s="18">
        <f t="shared" si="8"/>
        <v>245553.31999999998</v>
      </c>
      <c r="T41" s="19">
        <f t="shared" si="9"/>
        <v>0.28888625882352936</v>
      </c>
      <c r="U41" s="20">
        <f t="shared" si="10"/>
        <v>604446.68000000005</v>
      </c>
      <c r="V41" s="21">
        <f t="shared" si="11"/>
        <v>0.71111374117647064</v>
      </c>
      <c r="W41" s="18">
        <f>+C41-S41</f>
        <v>604446.68000000005</v>
      </c>
      <c r="X41" s="19">
        <f t="shared" si="12"/>
        <v>0.71111374117647064</v>
      </c>
      <c r="Y41" s="3"/>
      <c r="Z41" s="3"/>
      <c r="AA41" s="3"/>
      <c r="AB41" s="3"/>
      <c r="AC41" s="3"/>
      <c r="AD41" s="3"/>
      <c r="AE41" s="3"/>
      <c r="AF41" s="3"/>
    </row>
    <row r="42" spans="1:32" s="22" customFormat="1">
      <c r="A42" s="88" t="s">
        <v>48</v>
      </c>
      <c r="B42" s="24" t="s">
        <v>49</v>
      </c>
      <c r="C42" s="9">
        <f>+C43+C44+C46</f>
        <v>720000</v>
      </c>
      <c r="D42" s="9">
        <f t="shared" ref="D42:L42" si="15">SUM(D43:D44)</f>
        <v>39166.666666666664</v>
      </c>
      <c r="E42" s="10">
        <f t="shared" si="15"/>
        <v>120</v>
      </c>
      <c r="F42" s="10">
        <f t="shared" si="15"/>
        <v>60420.1</v>
      </c>
      <c r="G42" s="10">
        <f t="shared" si="15"/>
        <v>34748</v>
      </c>
      <c r="H42" s="10">
        <f t="shared" si="15"/>
        <v>205970</v>
      </c>
      <c r="I42" s="10">
        <f t="shared" si="15"/>
        <v>34420</v>
      </c>
      <c r="J42" s="10">
        <f t="shared" si="15"/>
        <v>343177.75</v>
      </c>
      <c r="K42" s="10">
        <f t="shared" si="15"/>
        <v>286143.7</v>
      </c>
      <c r="L42" s="10">
        <f t="shared" si="15"/>
        <v>2660</v>
      </c>
      <c r="M42" s="10">
        <f>SUM(M43:M45)</f>
        <v>79290.45</v>
      </c>
      <c r="N42" s="10">
        <f>SUM(N43:N44)</f>
        <v>74793.820000000007</v>
      </c>
      <c r="O42" s="10">
        <f>SUM(O43:O44)</f>
        <v>37120</v>
      </c>
      <c r="P42" s="10">
        <f>+P43+P44+P46</f>
        <v>40000</v>
      </c>
      <c r="Q42" s="10">
        <f>+Q43+Q44+Q46</f>
        <v>76380</v>
      </c>
      <c r="R42" s="10">
        <f>+R43+R44+R46</f>
        <v>230020.6</v>
      </c>
      <c r="S42" s="11">
        <f>+S43+S44</f>
        <v>78000</v>
      </c>
      <c r="T42" s="12">
        <f t="shared" si="9"/>
        <v>0.10833333333333334</v>
      </c>
      <c r="U42" s="13">
        <f t="shared" si="10"/>
        <v>642000</v>
      </c>
      <c r="V42" s="14">
        <f t="shared" si="11"/>
        <v>0.89166666666666672</v>
      </c>
      <c r="W42" s="96">
        <f>+W43+W44</f>
        <v>392000</v>
      </c>
      <c r="X42" s="97">
        <f t="shared" si="12"/>
        <v>0.5444444444444444</v>
      </c>
      <c r="Y42" s="3"/>
      <c r="Z42" s="3"/>
      <c r="AA42" s="3"/>
      <c r="AB42" s="3"/>
      <c r="AC42" s="3"/>
      <c r="AD42" s="3"/>
      <c r="AE42" s="3"/>
      <c r="AF42" s="3"/>
    </row>
    <row r="43" spans="1:32" s="22" customFormat="1">
      <c r="A43" s="163" t="s">
        <v>199</v>
      </c>
      <c r="B43" s="164" t="s">
        <v>50</v>
      </c>
      <c r="C43" s="167">
        <v>300000</v>
      </c>
      <c r="D43" s="17">
        <f t="shared" si="7"/>
        <v>25000</v>
      </c>
      <c r="E43" s="17"/>
      <c r="F43" s="17">
        <v>60420.1</v>
      </c>
      <c r="G43" s="17">
        <v>34050</v>
      </c>
      <c r="H43" s="17">
        <v>205790</v>
      </c>
      <c r="I43" s="17">
        <v>34000</v>
      </c>
      <c r="J43" s="17">
        <v>343177.75</v>
      </c>
      <c r="K43" s="17">
        <v>285903.7</v>
      </c>
      <c r="L43" s="17">
        <v>2660</v>
      </c>
      <c r="M43" s="17">
        <v>77130.45</v>
      </c>
      <c r="N43" s="17">
        <v>74793.820000000007</v>
      </c>
      <c r="O43" s="17">
        <v>36000</v>
      </c>
      <c r="P43" s="83">
        <v>40000</v>
      </c>
      <c r="Q43" s="83">
        <v>38000</v>
      </c>
      <c r="R43" s="83">
        <v>229960.6</v>
      </c>
      <c r="S43" s="18">
        <f t="shared" si="8"/>
        <v>78000</v>
      </c>
      <c r="T43" s="19">
        <f t="shared" si="9"/>
        <v>0.26</v>
      </c>
      <c r="U43" s="20">
        <f t="shared" si="10"/>
        <v>222000</v>
      </c>
      <c r="V43" s="21">
        <f t="shared" si="11"/>
        <v>0.74</v>
      </c>
      <c r="W43" s="18">
        <f>+C43-S43</f>
        <v>222000</v>
      </c>
      <c r="X43" s="19">
        <f t="shared" si="12"/>
        <v>0.74</v>
      </c>
      <c r="Y43" s="3"/>
      <c r="Z43" s="3"/>
      <c r="AA43" s="3"/>
      <c r="AB43" s="3"/>
      <c r="AC43" s="3"/>
      <c r="AD43" s="3"/>
      <c r="AE43" s="3"/>
      <c r="AF43" s="3"/>
    </row>
    <row r="44" spans="1:32" s="22" customFormat="1">
      <c r="A44" s="163" t="s">
        <v>200</v>
      </c>
      <c r="B44" s="164" t="s">
        <v>51</v>
      </c>
      <c r="C44" s="167">
        <v>170000</v>
      </c>
      <c r="D44" s="17">
        <f t="shared" si="7"/>
        <v>14166.666666666666</v>
      </c>
      <c r="E44" s="17">
        <v>120</v>
      </c>
      <c r="F44" s="17"/>
      <c r="G44" s="17">
        <v>698</v>
      </c>
      <c r="H44" s="17">
        <v>180</v>
      </c>
      <c r="I44" s="17">
        <v>420</v>
      </c>
      <c r="J44" s="17"/>
      <c r="K44" s="17">
        <v>240</v>
      </c>
      <c r="L44" s="17"/>
      <c r="M44" s="17">
        <f>1100+1060</f>
        <v>2160</v>
      </c>
      <c r="N44" s="17"/>
      <c r="O44" s="17">
        <v>1120</v>
      </c>
      <c r="P44" s="17">
        <v>0</v>
      </c>
      <c r="Q44" s="17">
        <v>0</v>
      </c>
      <c r="R44" s="83">
        <v>0</v>
      </c>
      <c r="S44" s="18">
        <f t="shared" si="8"/>
        <v>0</v>
      </c>
      <c r="T44" s="19">
        <f t="shared" si="9"/>
        <v>0</v>
      </c>
      <c r="U44" s="20">
        <f t="shared" si="10"/>
        <v>170000</v>
      </c>
      <c r="V44" s="21">
        <f t="shared" si="11"/>
        <v>1</v>
      </c>
      <c r="W44" s="18">
        <f>+C44-S44</f>
        <v>170000</v>
      </c>
      <c r="X44" s="19">
        <f t="shared" si="12"/>
        <v>1</v>
      </c>
      <c r="Y44" s="3"/>
      <c r="Z44" s="3"/>
      <c r="AA44" s="3"/>
      <c r="AB44" s="3"/>
      <c r="AC44" s="3"/>
      <c r="AD44" s="3"/>
      <c r="AE44" s="3"/>
      <c r="AF44" s="3"/>
    </row>
    <row r="45" spans="1:32" s="22" customFormat="1" hidden="1">
      <c r="A45" s="92" t="s">
        <v>52</v>
      </c>
      <c r="B45" s="15" t="s">
        <v>53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83">
        <v>0</v>
      </c>
      <c r="S45" s="18">
        <f t="shared" si="8"/>
        <v>0</v>
      </c>
      <c r="T45" s="26"/>
      <c r="U45" s="16"/>
      <c r="V45" s="16"/>
      <c r="W45" s="26"/>
      <c r="X45" s="26"/>
      <c r="Y45" s="3"/>
      <c r="Z45" s="3"/>
      <c r="AA45" s="3"/>
      <c r="AB45" s="3"/>
      <c r="AC45" s="3"/>
      <c r="AD45" s="3"/>
      <c r="AE45" s="3"/>
      <c r="AF45" s="3"/>
    </row>
    <row r="46" spans="1:32" s="22" customFormat="1">
      <c r="A46" s="92" t="s">
        <v>285</v>
      </c>
      <c r="B46" s="15" t="s">
        <v>53</v>
      </c>
      <c r="C46" s="16">
        <v>250000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>
        <v>0</v>
      </c>
      <c r="Q46" s="17">
        <v>38380</v>
      </c>
      <c r="R46" s="83">
        <v>60</v>
      </c>
      <c r="S46" s="18">
        <f t="shared" si="8"/>
        <v>38380</v>
      </c>
      <c r="T46" s="26"/>
      <c r="U46" s="16"/>
      <c r="V46" s="16"/>
      <c r="W46" s="26"/>
      <c r="X46" s="26"/>
      <c r="Y46" s="3"/>
      <c r="Z46" s="3"/>
      <c r="AA46" s="3"/>
      <c r="AB46" s="3"/>
      <c r="AC46" s="3"/>
      <c r="AD46" s="3"/>
      <c r="AE46" s="3"/>
      <c r="AF46" s="3"/>
    </row>
    <row r="47" spans="1:32" s="22" customFormat="1">
      <c r="A47" s="88" t="s">
        <v>54</v>
      </c>
      <c r="B47" s="24" t="s">
        <v>55</v>
      </c>
      <c r="C47" s="9">
        <f t="shared" ref="C47:O47" si="16">SUM(C48:C49)</f>
        <v>6600000</v>
      </c>
      <c r="D47" s="9">
        <f>SUM(D48:D49)</f>
        <v>550000</v>
      </c>
      <c r="E47" s="10">
        <f t="shared" si="16"/>
        <v>822253.15999999992</v>
      </c>
      <c r="F47" s="10">
        <f t="shared" si="16"/>
        <v>518913.51</v>
      </c>
      <c r="G47" s="10">
        <f t="shared" si="16"/>
        <v>447215.6</v>
      </c>
      <c r="H47" s="10">
        <f t="shared" si="16"/>
        <v>446539.1</v>
      </c>
      <c r="I47" s="10">
        <f t="shared" si="16"/>
        <v>397975.46</v>
      </c>
      <c r="J47" s="10">
        <f t="shared" si="16"/>
        <v>254045.33</v>
      </c>
      <c r="K47" s="10">
        <f t="shared" si="16"/>
        <v>936564.49</v>
      </c>
      <c r="L47" s="10">
        <f t="shared" si="16"/>
        <v>447583.22</v>
      </c>
      <c r="M47" s="10">
        <f>SUM(M48:M49)</f>
        <v>469305.16</v>
      </c>
      <c r="N47" s="10">
        <f>SUM(N48:N49)</f>
        <v>921609.95</v>
      </c>
      <c r="O47" s="10">
        <f t="shared" si="16"/>
        <v>614178.42000000004</v>
      </c>
      <c r="P47" s="10">
        <f>+P48+P49</f>
        <v>536582.06000000006</v>
      </c>
      <c r="Q47" s="10">
        <f>+Q48+Q49</f>
        <v>473805.16</v>
      </c>
      <c r="R47" s="10">
        <f>+R48+R49</f>
        <v>541796.11</v>
      </c>
      <c r="S47" s="11">
        <f>+S48+S49</f>
        <v>1010387.22</v>
      </c>
      <c r="T47" s="12">
        <f t="shared" ref="T47:T54" si="17">+S47/C47</f>
        <v>0.15308897272727273</v>
      </c>
      <c r="U47" s="13">
        <f t="shared" ref="U47:U59" si="18">+C47-S47</f>
        <v>5589612.7800000003</v>
      </c>
      <c r="V47" s="14">
        <f t="shared" ref="V47:V59" si="19">+U47/C47</f>
        <v>0.84691102727272727</v>
      </c>
      <c r="W47" s="96">
        <f>+W48+W49</f>
        <v>5589612.7800000003</v>
      </c>
      <c r="X47" s="97">
        <f t="shared" ref="X47:X62" si="20">+W47/C47</f>
        <v>0.84691102727272727</v>
      </c>
      <c r="Y47" s="3"/>
      <c r="Z47" s="3"/>
      <c r="AA47" s="3"/>
      <c r="AB47" s="3"/>
      <c r="AC47" s="3"/>
      <c r="AD47" s="3"/>
      <c r="AE47" s="3"/>
      <c r="AF47" s="3"/>
    </row>
    <row r="48" spans="1:32" s="22" customFormat="1">
      <c r="A48" s="163" t="s">
        <v>201</v>
      </c>
      <c r="B48" s="164" t="s">
        <v>56</v>
      </c>
      <c r="C48" s="167">
        <v>6000000</v>
      </c>
      <c r="D48" s="17">
        <f t="shared" ref="D48:D49" si="21">+C48/12</f>
        <v>500000</v>
      </c>
      <c r="E48" s="17">
        <v>320375.56</v>
      </c>
      <c r="F48" s="17">
        <v>512659.51</v>
      </c>
      <c r="G48" s="17">
        <v>396770.6</v>
      </c>
      <c r="H48" s="17">
        <v>400961.6</v>
      </c>
      <c r="I48" s="17">
        <v>377089.46</v>
      </c>
      <c r="J48" s="17">
        <v>254045.33</v>
      </c>
      <c r="K48" s="17">
        <v>865533.49</v>
      </c>
      <c r="L48" s="17">
        <v>347041.42</v>
      </c>
      <c r="M48" s="17">
        <v>469305.16</v>
      </c>
      <c r="N48" s="17">
        <v>756409.95</v>
      </c>
      <c r="O48" s="17">
        <v>614178.42000000004</v>
      </c>
      <c r="P48" s="83">
        <v>536582.06000000006</v>
      </c>
      <c r="Q48" s="83">
        <v>473805.16</v>
      </c>
      <c r="R48" s="83">
        <v>438664.11</v>
      </c>
      <c r="S48" s="18">
        <f t="shared" si="8"/>
        <v>1010387.22</v>
      </c>
      <c r="T48" s="19">
        <f t="shared" si="17"/>
        <v>0.16839787000000001</v>
      </c>
      <c r="U48" s="20">
        <f t="shared" si="18"/>
        <v>4989612.78</v>
      </c>
      <c r="V48" s="21">
        <f t="shared" si="19"/>
        <v>0.83160213000000005</v>
      </c>
      <c r="W48" s="18">
        <f>+C48-S48</f>
        <v>4989612.78</v>
      </c>
      <c r="X48" s="19">
        <f t="shared" si="20"/>
        <v>0.83160213000000005</v>
      </c>
      <c r="Y48" s="3"/>
      <c r="Z48" s="3"/>
      <c r="AA48" s="3"/>
      <c r="AB48" s="3"/>
      <c r="AC48" s="3"/>
      <c r="AD48" s="3"/>
      <c r="AE48" s="3"/>
      <c r="AF48" s="3"/>
    </row>
    <row r="49" spans="1:32" s="22" customFormat="1">
      <c r="A49" s="163" t="s">
        <v>202</v>
      </c>
      <c r="B49" s="164" t="s">
        <v>57</v>
      </c>
      <c r="C49" s="167">
        <v>600000</v>
      </c>
      <c r="D49" s="17">
        <f t="shared" si="21"/>
        <v>50000</v>
      </c>
      <c r="E49" s="17">
        <v>501877.6</v>
      </c>
      <c r="F49" s="17">
        <v>6254</v>
      </c>
      <c r="G49" s="17">
        <v>50445</v>
      </c>
      <c r="H49" s="17">
        <v>45577.5</v>
      </c>
      <c r="I49" s="17">
        <v>20886</v>
      </c>
      <c r="J49" s="17"/>
      <c r="K49" s="17">
        <v>71031</v>
      </c>
      <c r="L49" s="17">
        <v>100541.8</v>
      </c>
      <c r="M49" s="17"/>
      <c r="N49" s="17">
        <v>165200</v>
      </c>
      <c r="O49" s="17"/>
      <c r="P49" s="17">
        <v>0</v>
      </c>
      <c r="Q49" s="17">
        <v>0</v>
      </c>
      <c r="R49" s="83">
        <v>103132</v>
      </c>
      <c r="S49" s="18">
        <f t="shared" si="8"/>
        <v>0</v>
      </c>
      <c r="T49" s="19">
        <f t="shared" si="17"/>
        <v>0</v>
      </c>
      <c r="U49" s="20">
        <f t="shared" si="18"/>
        <v>600000</v>
      </c>
      <c r="V49" s="21">
        <f t="shared" si="19"/>
        <v>1</v>
      </c>
      <c r="W49" s="18">
        <f>+C49-S49</f>
        <v>600000</v>
      </c>
      <c r="X49" s="19">
        <f t="shared" si="20"/>
        <v>1</v>
      </c>
      <c r="Y49" s="3"/>
      <c r="Z49" s="3"/>
      <c r="AA49" s="3"/>
      <c r="AB49" s="3"/>
      <c r="AC49" s="3"/>
      <c r="AD49" s="3"/>
      <c r="AE49" s="3"/>
      <c r="AF49" s="3"/>
    </row>
    <row r="50" spans="1:32" s="22" customFormat="1">
      <c r="A50" s="88" t="s">
        <v>58</v>
      </c>
      <c r="B50" s="24" t="s">
        <v>59</v>
      </c>
      <c r="C50" s="9">
        <f t="shared" ref="C50:O50" si="22">SUM(C51)</f>
        <v>7000000</v>
      </c>
      <c r="D50" s="9">
        <f t="shared" si="22"/>
        <v>0</v>
      </c>
      <c r="E50" s="10">
        <f t="shared" si="22"/>
        <v>9295.49</v>
      </c>
      <c r="F50" s="10">
        <f t="shared" si="22"/>
        <v>1537079.27</v>
      </c>
      <c r="G50" s="10">
        <f t="shared" si="22"/>
        <v>1537095.96</v>
      </c>
      <c r="H50" s="10">
        <f t="shared" si="22"/>
        <v>1537095.96</v>
      </c>
      <c r="I50" s="10">
        <f t="shared" si="22"/>
        <v>1537095.92</v>
      </c>
      <c r="J50" s="10">
        <f t="shared" si="22"/>
        <v>387690.38</v>
      </c>
      <c r="K50" s="10">
        <f t="shared" si="22"/>
        <v>0</v>
      </c>
      <c r="L50" s="10">
        <f t="shared" si="22"/>
        <v>166559.47</v>
      </c>
      <c r="M50" s="10">
        <f>SUM(M51)</f>
        <v>0</v>
      </c>
      <c r="N50" s="10">
        <f t="shared" si="22"/>
        <v>94083.44</v>
      </c>
      <c r="O50" s="10">
        <f t="shared" si="22"/>
        <v>21116.3</v>
      </c>
      <c r="P50" s="10">
        <f>+P51</f>
        <v>20646.2</v>
      </c>
      <c r="Q50" s="10">
        <f>+Q51</f>
        <v>34926.83</v>
      </c>
      <c r="R50" s="10">
        <f>+R51</f>
        <v>21140.17</v>
      </c>
      <c r="S50" s="11">
        <f>+S51</f>
        <v>55573.03</v>
      </c>
      <c r="T50" s="12">
        <f t="shared" si="17"/>
        <v>7.9390042857142851E-3</v>
      </c>
      <c r="U50" s="13">
        <f t="shared" si="18"/>
        <v>6944426.9699999997</v>
      </c>
      <c r="V50" s="14">
        <f t="shared" si="19"/>
        <v>0.99206099571428563</v>
      </c>
      <c r="W50" s="96">
        <f>+W51</f>
        <v>6944426.9699999997</v>
      </c>
      <c r="X50" s="97">
        <f t="shared" si="20"/>
        <v>0.99206099571428563</v>
      </c>
      <c r="Y50" s="3"/>
      <c r="Z50" s="3"/>
      <c r="AA50" s="3"/>
      <c r="AB50" s="3"/>
      <c r="AC50" s="3"/>
      <c r="AD50" s="3"/>
      <c r="AE50" s="3"/>
      <c r="AF50" s="3"/>
    </row>
    <row r="51" spans="1:32" s="22" customFormat="1">
      <c r="A51" s="163" t="s">
        <v>203</v>
      </c>
      <c r="B51" s="164" t="s">
        <v>60</v>
      </c>
      <c r="C51" s="167">
        <v>7000000</v>
      </c>
      <c r="D51" s="27">
        <v>0</v>
      </c>
      <c r="E51" s="27">
        <v>9295.49</v>
      </c>
      <c r="F51" s="27">
        <v>1537079.27</v>
      </c>
      <c r="G51" s="17">
        <v>1537095.96</v>
      </c>
      <c r="H51" s="27">
        <v>1537095.96</v>
      </c>
      <c r="I51" s="27">
        <v>1537095.92</v>
      </c>
      <c r="J51" s="27">
        <v>387690.38</v>
      </c>
      <c r="K51" s="27"/>
      <c r="L51" s="27">
        <v>166559.47</v>
      </c>
      <c r="M51" s="27"/>
      <c r="N51" s="27">
        <v>94083.44</v>
      </c>
      <c r="O51" s="27">
        <v>21116.3</v>
      </c>
      <c r="P51" s="85">
        <v>20646.2</v>
      </c>
      <c r="Q51" s="85">
        <v>34926.83</v>
      </c>
      <c r="R51" s="85">
        <v>21140.17</v>
      </c>
      <c r="S51" s="18">
        <f t="shared" si="8"/>
        <v>55573.03</v>
      </c>
      <c r="T51" s="19">
        <f t="shared" si="17"/>
        <v>7.9390042857142851E-3</v>
      </c>
      <c r="U51" s="20">
        <f t="shared" si="18"/>
        <v>6944426.9699999997</v>
      </c>
      <c r="V51" s="21">
        <f t="shared" si="19"/>
        <v>0.99206099571428563</v>
      </c>
      <c r="W51" s="18">
        <f>+C51-S51</f>
        <v>6944426.9699999997</v>
      </c>
      <c r="X51" s="19">
        <f t="shared" si="20"/>
        <v>0.99206099571428563</v>
      </c>
      <c r="Y51" s="3"/>
      <c r="Z51" s="3"/>
      <c r="AA51" s="3"/>
      <c r="AB51" s="3"/>
      <c r="AC51" s="3"/>
      <c r="AD51" s="3"/>
      <c r="AE51" s="3"/>
      <c r="AF51" s="3"/>
    </row>
    <row r="52" spans="1:32" s="22" customFormat="1">
      <c r="A52" s="88" t="s">
        <v>61</v>
      </c>
      <c r="B52" s="24" t="s">
        <v>62</v>
      </c>
      <c r="C52" s="9">
        <f t="shared" ref="C52:O52" si="23">SUM(C53:C61)</f>
        <v>6820402.7300000004</v>
      </c>
      <c r="D52" s="9">
        <f>SUM(D53:D61)</f>
        <v>543366.89416666667</v>
      </c>
      <c r="E52" s="10">
        <f t="shared" si="23"/>
        <v>64600</v>
      </c>
      <c r="F52" s="10">
        <f t="shared" si="23"/>
        <v>1100293.1000000001</v>
      </c>
      <c r="G52" s="10">
        <f t="shared" si="23"/>
        <v>524632.46</v>
      </c>
      <c r="H52" s="10">
        <f t="shared" si="23"/>
        <v>697511.86</v>
      </c>
      <c r="I52" s="10">
        <f t="shared" si="23"/>
        <v>1688087.97</v>
      </c>
      <c r="J52" s="10">
        <f t="shared" si="23"/>
        <v>765563.58</v>
      </c>
      <c r="K52" s="10">
        <f t="shared" si="23"/>
        <v>863764</v>
      </c>
      <c r="L52" s="10">
        <f t="shared" si="23"/>
        <v>1018473.34</v>
      </c>
      <c r="M52" s="10">
        <f t="shared" si="23"/>
        <v>1537207.34</v>
      </c>
      <c r="N52" s="10">
        <f t="shared" si="23"/>
        <v>539592.66</v>
      </c>
      <c r="O52" s="10">
        <f t="shared" si="23"/>
        <v>817951.32</v>
      </c>
      <c r="P52" s="10">
        <f>+P53+P55+P57+P58+P59+P60+P61</f>
        <v>20128.489999999998</v>
      </c>
      <c r="Q52" s="10">
        <f>+Q53+Q55+Q57+Q58+Q59+Q60+Q61</f>
        <v>117024.3</v>
      </c>
      <c r="R52" s="10">
        <f>+R53+R55+R56+R58+R59+R61</f>
        <v>164939.91999999998</v>
      </c>
      <c r="S52" s="11">
        <f>SUM(S53:S61)</f>
        <v>137152.79</v>
      </c>
      <c r="T52" s="12">
        <f t="shared" si="17"/>
        <v>2.010919229105405E-2</v>
      </c>
      <c r="U52" s="13">
        <f t="shared" si="18"/>
        <v>6683249.9400000004</v>
      </c>
      <c r="V52" s="14">
        <f t="shared" si="19"/>
        <v>0.97989080770894599</v>
      </c>
      <c r="W52" s="96">
        <f>+W53+W55+W61</f>
        <v>4926445.2799999993</v>
      </c>
      <c r="X52" s="97">
        <f t="shared" si="20"/>
        <v>0.72231002699161706</v>
      </c>
      <c r="Y52" s="3"/>
      <c r="Z52" s="3"/>
      <c r="AA52" s="3"/>
      <c r="AB52" s="3"/>
      <c r="AC52" s="3"/>
      <c r="AD52" s="3"/>
      <c r="AE52" s="3"/>
      <c r="AF52" s="3"/>
    </row>
    <row r="53" spans="1:32" s="30" customFormat="1">
      <c r="A53" s="168" t="s">
        <v>204</v>
      </c>
      <c r="B53" s="169" t="s">
        <v>63</v>
      </c>
      <c r="C53" s="167">
        <v>2445402.73</v>
      </c>
      <c r="D53" s="17">
        <f t="shared" ref="D53:D61" si="24">+C53/12</f>
        <v>203783.56083333332</v>
      </c>
      <c r="E53" s="17"/>
      <c r="F53" s="17">
        <v>1090128.1000000001</v>
      </c>
      <c r="G53" s="17">
        <v>523957.46</v>
      </c>
      <c r="H53" s="17">
        <v>697511.86</v>
      </c>
      <c r="I53" s="17">
        <v>1669562.67</v>
      </c>
      <c r="J53" s="17">
        <v>611199.57999999996</v>
      </c>
      <c r="K53" s="17">
        <v>861264</v>
      </c>
      <c r="L53" s="17">
        <v>1016303.32</v>
      </c>
      <c r="M53" s="17">
        <v>1532003.54</v>
      </c>
      <c r="N53" s="17">
        <v>539592.66</v>
      </c>
      <c r="O53" s="17">
        <v>817951.32</v>
      </c>
      <c r="P53" s="17">
        <v>0</v>
      </c>
      <c r="Q53" s="17">
        <v>0</v>
      </c>
      <c r="R53" s="83">
        <v>0</v>
      </c>
      <c r="S53" s="18">
        <f t="shared" si="8"/>
        <v>0</v>
      </c>
      <c r="T53" s="19">
        <f t="shared" si="17"/>
        <v>0</v>
      </c>
      <c r="U53" s="20">
        <f t="shared" si="18"/>
        <v>2445402.73</v>
      </c>
      <c r="V53" s="21">
        <f t="shared" si="19"/>
        <v>1</v>
      </c>
      <c r="W53" s="18">
        <f t="shared" ref="W53:W61" si="25">+C53-S53</f>
        <v>2445402.73</v>
      </c>
      <c r="X53" s="19">
        <f t="shared" si="20"/>
        <v>1</v>
      </c>
      <c r="Y53" s="29"/>
      <c r="Z53" s="29"/>
      <c r="AA53" s="29"/>
      <c r="AB53" s="29"/>
      <c r="AC53" s="29"/>
      <c r="AD53" s="29"/>
      <c r="AE53" s="29"/>
      <c r="AF53" s="29"/>
    </row>
    <row r="54" spans="1:32" s="22" customFormat="1" ht="30" hidden="1">
      <c r="A54" s="168" t="s">
        <v>205</v>
      </c>
      <c r="B54" s="170" t="s">
        <v>64</v>
      </c>
      <c r="C54" s="167">
        <v>100000</v>
      </c>
      <c r="D54" s="17">
        <f t="shared" si="24"/>
        <v>8333.3333333333339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83"/>
      <c r="S54" s="18">
        <f t="shared" si="8"/>
        <v>0</v>
      </c>
      <c r="T54" s="19">
        <f t="shared" si="17"/>
        <v>0</v>
      </c>
      <c r="U54" s="20">
        <f t="shared" si="18"/>
        <v>100000</v>
      </c>
      <c r="V54" s="21">
        <f t="shared" si="19"/>
        <v>1</v>
      </c>
      <c r="W54" s="18">
        <f t="shared" si="25"/>
        <v>100000</v>
      </c>
      <c r="X54" s="19">
        <f t="shared" si="20"/>
        <v>1</v>
      </c>
      <c r="Y54" s="3"/>
      <c r="Z54" s="3"/>
      <c r="AA54" s="3"/>
      <c r="AB54" s="3"/>
      <c r="AC54" s="3"/>
      <c r="AD54" s="3"/>
      <c r="AE54" s="3"/>
      <c r="AF54" s="3"/>
    </row>
    <row r="55" spans="1:32" s="22" customFormat="1" ht="15.75" customHeight="1">
      <c r="A55" s="168" t="s">
        <v>255</v>
      </c>
      <c r="B55" s="170" t="s">
        <v>256</v>
      </c>
      <c r="C55" s="167">
        <v>0</v>
      </c>
      <c r="D55" s="17">
        <v>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86">
        <v>0</v>
      </c>
      <c r="Q55" s="86">
        <v>0</v>
      </c>
      <c r="R55" s="83">
        <v>0</v>
      </c>
      <c r="S55" s="18">
        <f t="shared" si="8"/>
        <v>0</v>
      </c>
      <c r="T55" s="19">
        <v>0</v>
      </c>
      <c r="U55" s="20">
        <f t="shared" si="18"/>
        <v>0</v>
      </c>
      <c r="V55" s="21" t="e">
        <f t="shared" si="19"/>
        <v>#DIV/0!</v>
      </c>
      <c r="W55" s="18">
        <f t="shared" si="25"/>
        <v>0</v>
      </c>
      <c r="X55" s="19" t="e">
        <f t="shared" si="20"/>
        <v>#DIV/0!</v>
      </c>
      <c r="Y55" s="3"/>
      <c r="Z55" s="3"/>
      <c r="AA55" s="3"/>
      <c r="AB55" s="3"/>
      <c r="AC55" s="3"/>
      <c r="AD55" s="3"/>
      <c r="AE55" s="3"/>
      <c r="AF55" s="3"/>
    </row>
    <row r="56" spans="1:32" s="22" customFormat="1" ht="15.75" customHeight="1">
      <c r="A56" s="168" t="s">
        <v>298</v>
      </c>
      <c r="B56" s="170" t="s">
        <v>256</v>
      </c>
      <c r="C56" s="167">
        <v>300000</v>
      </c>
      <c r="D56" s="17">
        <v>0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86">
        <v>0</v>
      </c>
      <c r="Q56" s="86">
        <v>0</v>
      </c>
      <c r="R56" s="83">
        <v>123399.67999999999</v>
      </c>
      <c r="S56" s="18">
        <f t="shared" ref="S56" si="26">+P56+Q56</f>
        <v>0</v>
      </c>
      <c r="T56" s="19">
        <v>0</v>
      </c>
      <c r="U56" s="20">
        <f t="shared" ref="U56" si="27">+C56-S56</f>
        <v>300000</v>
      </c>
      <c r="V56" s="21">
        <f t="shared" ref="V56" si="28">+U56/C56</f>
        <v>1</v>
      </c>
      <c r="W56" s="18">
        <f t="shared" ref="W56" si="29">+C56-S56</f>
        <v>300000</v>
      </c>
      <c r="X56" s="19">
        <f t="shared" ref="X56" si="30">+W56/C56</f>
        <v>1</v>
      </c>
      <c r="Y56" s="3"/>
      <c r="Z56" s="3"/>
      <c r="AA56" s="3"/>
      <c r="AB56" s="3"/>
      <c r="AC56" s="3"/>
      <c r="AD56" s="3"/>
      <c r="AE56" s="3"/>
      <c r="AF56" s="3"/>
    </row>
    <row r="57" spans="1:32" s="22" customFormat="1">
      <c r="A57" s="168" t="s">
        <v>206</v>
      </c>
      <c r="B57" s="169" t="s">
        <v>65</v>
      </c>
      <c r="C57" s="167">
        <v>300000</v>
      </c>
      <c r="D57" s="17">
        <f t="shared" si="24"/>
        <v>25000</v>
      </c>
      <c r="E57" s="16">
        <v>64600</v>
      </c>
      <c r="F57" s="16"/>
      <c r="G57" s="16">
        <v>675</v>
      </c>
      <c r="H57" s="16"/>
      <c r="I57" s="16">
        <v>18525.3</v>
      </c>
      <c r="J57" s="16">
        <v>96426</v>
      </c>
      <c r="K57" s="16">
        <v>2500</v>
      </c>
      <c r="L57" s="16">
        <v>2170.02</v>
      </c>
      <c r="M57" s="16">
        <v>4495.8</v>
      </c>
      <c r="N57" s="16"/>
      <c r="O57" s="16"/>
      <c r="P57" s="16">
        <v>0</v>
      </c>
      <c r="Q57" s="16">
        <v>0</v>
      </c>
      <c r="R57" s="83">
        <v>0</v>
      </c>
      <c r="S57" s="18">
        <f t="shared" si="8"/>
        <v>0</v>
      </c>
      <c r="T57" s="19">
        <f t="shared" ref="T57:T62" si="31">+S57/C57</f>
        <v>0</v>
      </c>
      <c r="U57" s="20">
        <f t="shared" si="18"/>
        <v>300000</v>
      </c>
      <c r="V57" s="21">
        <f t="shared" si="19"/>
        <v>1</v>
      </c>
      <c r="W57" s="18">
        <f t="shared" si="25"/>
        <v>300000</v>
      </c>
      <c r="X57" s="19">
        <f t="shared" si="20"/>
        <v>1</v>
      </c>
      <c r="Y57" s="3"/>
      <c r="Z57" s="3"/>
      <c r="AA57" s="3"/>
      <c r="AB57" s="3"/>
      <c r="AC57" s="3"/>
      <c r="AD57" s="3"/>
      <c r="AE57" s="3"/>
      <c r="AF57" s="3"/>
    </row>
    <row r="58" spans="1:32" s="22" customFormat="1">
      <c r="A58" s="168" t="s">
        <v>207</v>
      </c>
      <c r="B58" s="169" t="s">
        <v>66</v>
      </c>
      <c r="C58" s="167">
        <v>550000</v>
      </c>
      <c r="D58" s="17">
        <f t="shared" si="24"/>
        <v>45833.333333333336</v>
      </c>
      <c r="E58" s="16"/>
      <c r="F58" s="16">
        <v>10165</v>
      </c>
      <c r="G58" s="16"/>
      <c r="H58" s="16"/>
      <c r="I58" s="16"/>
      <c r="J58" s="16"/>
      <c r="K58" s="16"/>
      <c r="L58" s="16"/>
      <c r="M58" s="16">
        <v>708</v>
      </c>
      <c r="N58" s="16"/>
      <c r="O58" s="16"/>
      <c r="P58" s="16">
        <v>0</v>
      </c>
      <c r="Q58" s="16">
        <v>0</v>
      </c>
      <c r="R58" s="83">
        <v>0</v>
      </c>
      <c r="S58" s="18">
        <f t="shared" si="8"/>
        <v>0</v>
      </c>
      <c r="T58" s="19">
        <f t="shared" si="31"/>
        <v>0</v>
      </c>
      <c r="U58" s="20">
        <f t="shared" si="18"/>
        <v>550000</v>
      </c>
      <c r="V58" s="21">
        <f t="shared" si="19"/>
        <v>1</v>
      </c>
      <c r="W58" s="18">
        <f t="shared" si="25"/>
        <v>550000</v>
      </c>
      <c r="X58" s="19">
        <f t="shared" si="20"/>
        <v>1</v>
      </c>
      <c r="Y58" s="3"/>
      <c r="Z58" s="3"/>
      <c r="AA58" s="3"/>
      <c r="AB58" s="3"/>
      <c r="AC58" s="3"/>
      <c r="AD58" s="3"/>
      <c r="AE58" s="3"/>
      <c r="AF58" s="3"/>
    </row>
    <row r="59" spans="1:32" s="22" customFormat="1">
      <c r="A59" s="168" t="s">
        <v>208</v>
      </c>
      <c r="B59" s="169" t="s">
        <v>67</v>
      </c>
      <c r="C59" s="167">
        <v>500000</v>
      </c>
      <c r="D59" s="17">
        <f t="shared" si="24"/>
        <v>41666.666666666664</v>
      </c>
      <c r="E59" s="16"/>
      <c r="F59" s="16"/>
      <c r="G59" s="16"/>
      <c r="H59" s="16"/>
      <c r="I59" s="16"/>
      <c r="J59" s="16">
        <v>57938</v>
      </c>
      <c r="K59" s="16"/>
      <c r="L59" s="16"/>
      <c r="M59" s="16"/>
      <c r="N59" s="16"/>
      <c r="O59" s="16"/>
      <c r="P59" s="86">
        <f>2950+5015.34</f>
        <v>7965.34</v>
      </c>
      <c r="Q59" s="86">
        <f>104430+5800</f>
        <v>110230</v>
      </c>
      <c r="R59" s="83">
        <v>0</v>
      </c>
      <c r="S59" s="18">
        <f t="shared" si="8"/>
        <v>118195.34</v>
      </c>
      <c r="T59" s="19">
        <f t="shared" si="31"/>
        <v>0.23639067999999999</v>
      </c>
      <c r="U59" s="20">
        <f t="shared" si="18"/>
        <v>381804.66000000003</v>
      </c>
      <c r="V59" s="21">
        <f t="shared" si="19"/>
        <v>0.76360932000000004</v>
      </c>
      <c r="W59" s="18">
        <f t="shared" si="25"/>
        <v>381804.66000000003</v>
      </c>
      <c r="X59" s="19">
        <f t="shared" si="20"/>
        <v>0.76360932000000004</v>
      </c>
      <c r="Y59" s="3"/>
      <c r="Z59" s="3"/>
      <c r="AA59" s="3"/>
      <c r="AB59" s="3"/>
      <c r="AC59" s="3"/>
      <c r="AD59" s="3"/>
      <c r="AE59" s="3"/>
      <c r="AF59" s="3"/>
    </row>
    <row r="60" spans="1:32" s="22" customFormat="1">
      <c r="A60" s="168" t="s">
        <v>209</v>
      </c>
      <c r="B60" s="169" t="s">
        <v>68</v>
      </c>
      <c r="C60" s="167">
        <v>125000</v>
      </c>
      <c r="D60" s="17">
        <f t="shared" si="24"/>
        <v>10416.666666666666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>
        <v>0</v>
      </c>
      <c r="Q60" s="16">
        <v>0</v>
      </c>
      <c r="R60" s="83">
        <v>0</v>
      </c>
      <c r="S60" s="18">
        <f t="shared" si="8"/>
        <v>0</v>
      </c>
      <c r="T60" s="19">
        <f t="shared" si="31"/>
        <v>0</v>
      </c>
      <c r="U60" s="20"/>
      <c r="V60" s="21"/>
      <c r="W60" s="18">
        <f t="shared" si="25"/>
        <v>125000</v>
      </c>
      <c r="X60" s="19">
        <f t="shared" si="20"/>
        <v>1</v>
      </c>
      <c r="Y60" s="3"/>
      <c r="Z60" s="3"/>
      <c r="AA60" s="3"/>
      <c r="AB60" s="3"/>
      <c r="AC60" s="3"/>
      <c r="AD60" s="3"/>
      <c r="AE60" s="3"/>
      <c r="AF60" s="3"/>
    </row>
    <row r="61" spans="1:32" s="22" customFormat="1">
      <c r="A61" s="168" t="s">
        <v>210</v>
      </c>
      <c r="B61" s="169" t="s">
        <v>211</v>
      </c>
      <c r="C61" s="167">
        <v>2500000</v>
      </c>
      <c r="D61" s="17">
        <f t="shared" si="24"/>
        <v>208333.33333333334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86">
        <v>12163.15</v>
      </c>
      <c r="Q61" s="86">
        <v>6794.3</v>
      </c>
      <c r="R61" s="83">
        <v>41540.239999999998</v>
      </c>
      <c r="S61" s="18">
        <f t="shared" si="8"/>
        <v>18957.45</v>
      </c>
      <c r="T61" s="19">
        <f t="shared" si="31"/>
        <v>7.5829800000000004E-3</v>
      </c>
      <c r="U61" s="20">
        <f>+C61-S61</f>
        <v>2481042.5499999998</v>
      </c>
      <c r="V61" s="21">
        <f>+U61/C61</f>
        <v>0.99241701999999987</v>
      </c>
      <c r="W61" s="18">
        <f t="shared" si="25"/>
        <v>2481042.5499999998</v>
      </c>
      <c r="X61" s="19">
        <f t="shared" si="20"/>
        <v>0.99241701999999987</v>
      </c>
      <c r="Y61" s="3"/>
      <c r="Z61" s="3"/>
      <c r="AA61" s="3"/>
      <c r="AB61" s="3"/>
      <c r="AC61" s="3"/>
      <c r="AD61" s="3"/>
      <c r="AE61" s="3"/>
      <c r="AF61" s="3"/>
    </row>
    <row r="62" spans="1:32">
      <c r="A62" s="88" t="s">
        <v>69</v>
      </c>
      <c r="B62" s="24" t="s">
        <v>70</v>
      </c>
      <c r="C62" s="9">
        <f>SUM(C64:C73)</f>
        <v>13483000</v>
      </c>
      <c r="D62" s="9">
        <f t="shared" ref="D62:L62" si="32">SUM(D65:D73)</f>
        <v>640250</v>
      </c>
      <c r="E62" s="10">
        <f t="shared" si="32"/>
        <v>225888.18</v>
      </c>
      <c r="F62" s="10">
        <f t="shared" si="32"/>
        <v>154377.47</v>
      </c>
      <c r="G62" s="10">
        <f t="shared" si="32"/>
        <v>132348.85999999999</v>
      </c>
      <c r="H62" s="10">
        <f t="shared" si="32"/>
        <v>463397.63999999996</v>
      </c>
      <c r="I62" s="10">
        <f t="shared" si="32"/>
        <v>823424.65</v>
      </c>
      <c r="J62" s="10">
        <f t="shared" si="32"/>
        <v>830003.01</v>
      </c>
      <c r="K62" s="10">
        <f t="shared" si="32"/>
        <v>136909.06</v>
      </c>
      <c r="L62" s="10">
        <f t="shared" si="32"/>
        <v>1039509.3</v>
      </c>
      <c r="M62" s="10">
        <f>SUM(M63:M73)</f>
        <v>112478.67</v>
      </c>
      <c r="N62" s="10">
        <f>SUM(N65:N73)</f>
        <v>102731.34</v>
      </c>
      <c r="O62" s="10">
        <f>SUM(O65:O73)</f>
        <v>110597.85</v>
      </c>
      <c r="P62" s="10">
        <f>+P64+P65+P66+P67+P68+P69+P70+P71+P72+P73</f>
        <v>5924428.9199999999</v>
      </c>
      <c r="Q62" s="10">
        <f>+Q64+Q65+Q66+Q67+Q68+Q69+Q70+Q71+Q72+Q73</f>
        <v>822935.71000000008</v>
      </c>
      <c r="R62" s="10">
        <f>+R64+R65+R66+R67+R68+R69+R70+R71+R72+R73</f>
        <v>1376246.29</v>
      </c>
      <c r="S62" s="11">
        <f>SUM(S64:S73)</f>
        <v>6747364.6300000008</v>
      </c>
      <c r="T62" s="12">
        <f t="shared" si="31"/>
        <v>0.5004349647704518</v>
      </c>
      <c r="U62" s="13">
        <f>+C62-S62</f>
        <v>6735635.3699999992</v>
      </c>
      <c r="V62" s="14">
        <f>+U62/C62</f>
        <v>0.49956503522954826</v>
      </c>
      <c r="W62" s="96">
        <f>+W64+W65+W67+W70+W71+W73</f>
        <v>6425036.5999999996</v>
      </c>
      <c r="X62" s="97">
        <f t="shared" si="20"/>
        <v>0.47652871022769411</v>
      </c>
      <c r="Y62" s="3"/>
      <c r="Z62" s="3"/>
      <c r="AA62" s="3"/>
      <c r="AB62" s="3"/>
      <c r="AC62" s="3"/>
      <c r="AD62" s="3"/>
      <c r="AE62" s="3"/>
      <c r="AF62" s="3"/>
    </row>
    <row r="63" spans="1:32" hidden="1">
      <c r="A63" s="40" t="s">
        <v>71</v>
      </c>
      <c r="B63" s="28" t="s">
        <v>72</v>
      </c>
      <c r="C63" s="16">
        <v>0</v>
      </c>
      <c r="D63" s="17">
        <v>0</v>
      </c>
      <c r="E63" s="17"/>
      <c r="F63" s="17"/>
      <c r="G63" s="17"/>
      <c r="H63" s="17"/>
      <c r="I63" s="17"/>
      <c r="J63" s="17"/>
      <c r="K63" s="17"/>
      <c r="L63" s="17"/>
      <c r="M63" s="17">
        <v>0</v>
      </c>
      <c r="N63" s="17"/>
      <c r="O63" s="17"/>
      <c r="P63" s="17"/>
      <c r="Q63" s="17"/>
      <c r="R63" s="17"/>
      <c r="S63" s="26"/>
      <c r="T63" s="26"/>
      <c r="U63" s="16">
        <v>0</v>
      </c>
      <c r="V63" s="16"/>
      <c r="W63" s="26"/>
      <c r="X63" s="26"/>
      <c r="Y63" s="3"/>
      <c r="Z63" s="3"/>
      <c r="AA63" s="3"/>
      <c r="AB63" s="3"/>
      <c r="AC63" s="3"/>
      <c r="AD63" s="3"/>
      <c r="AE63" s="3"/>
      <c r="AF63" s="3"/>
    </row>
    <row r="64" spans="1:32">
      <c r="A64" s="163" t="s">
        <v>257</v>
      </c>
      <c r="B64" s="169" t="s">
        <v>72</v>
      </c>
      <c r="C64" s="167">
        <v>50000</v>
      </c>
      <c r="D64" s="17">
        <v>0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83">
        <f>10000+12900</f>
        <v>22900</v>
      </c>
      <c r="Q64" s="83">
        <v>0</v>
      </c>
      <c r="R64" s="83">
        <v>0</v>
      </c>
      <c r="S64" s="18">
        <f t="shared" ref="S64:S73" si="33">+P64+Q64</f>
        <v>22900</v>
      </c>
      <c r="T64" s="19">
        <f>+S64/C64</f>
        <v>0.45800000000000002</v>
      </c>
      <c r="U64" s="16"/>
      <c r="V64" s="16"/>
      <c r="W64" s="18">
        <f>+C64-S64</f>
        <v>27100</v>
      </c>
      <c r="X64" s="19">
        <f>+W64/C64</f>
        <v>0.54200000000000004</v>
      </c>
      <c r="Y64" s="3"/>
      <c r="Z64" s="3"/>
      <c r="AA64" s="3"/>
      <c r="AB64" s="3"/>
      <c r="AC64" s="3"/>
      <c r="AD64" s="3"/>
      <c r="AE64" s="3"/>
      <c r="AF64" s="3"/>
    </row>
    <row r="65" spans="1:32">
      <c r="A65" s="163" t="s">
        <v>212</v>
      </c>
      <c r="B65" s="169" t="s">
        <v>73</v>
      </c>
      <c r="C65" s="167">
        <v>850000</v>
      </c>
      <c r="D65" s="17">
        <f t="shared" ref="D65:D73" si="34">+C65/12</f>
        <v>70833.333333333328</v>
      </c>
      <c r="E65" s="17">
        <v>134559.29999999999</v>
      </c>
      <c r="F65" s="17">
        <v>103973.05</v>
      </c>
      <c r="G65" s="17">
        <v>93081.12</v>
      </c>
      <c r="H65" s="17">
        <v>85994.04</v>
      </c>
      <c r="I65" s="17">
        <v>83589.42</v>
      </c>
      <c r="J65" s="17">
        <v>93194.31</v>
      </c>
      <c r="K65" s="17">
        <v>126974.58</v>
      </c>
      <c r="L65" s="17">
        <v>105244.88</v>
      </c>
      <c r="M65" s="17">
        <f>20300+84301.28</f>
        <v>104601.28</v>
      </c>
      <c r="N65" s="17">
        <v>96562.66</v>
      </c>
      <c r="O65" s="17">
        <v>92709.440000000002</v>
      </c>
      <c r="P65" s="17">
        <v>135134.20000000001</v>
      </c>
      <c r="Q65" s="17">
        <v>95184.2</v>
      </c>
      <c r="R65" s="83">
        <v>239277.78</v>
      </c>
      <c r="S65" s="18">
        <f t="shared" si="33"/>
        <v>230318.40000000002</v>
      </c>
      <c r="T65" s="19">
        <f>+S65/C65</f>
        <v>0.27096282352941181</v>
      </c>
      <c r="U65" s="20">
        <f>+C65-S65</f>
        <v>619681.6</v>
      </c>
      <c r="V65" s="21">
        <f>+U65/C65</f>
        <v>0.72903717647058819</v>
      </c>
      <c r="W65" s="18">
        <f>+C65-S65</f>
        <v>619681.6</v>
      </c>
      <c r="X65" s="19">
        <f>+W65/C65</f>
        <v>0.72903717647058819</v>
      </c>
      <c r="Y65" s="3"/>
      <c r="Z65" s="3"/>
      <c r="AA65" s="3"/>
      <c r="AB65" s="3"/>
      <c r="AC65" s="3"/>
      <c r="AD65" s="3"/>
      <c r="AE65" s="3"/>
      <c r="AF65" s="3"/>
    </row>
    <row r="66" spans="1:32">
      <c r="A66" s="163" t="s">
        <v>287</v>
      </c>
      <c r="B66" s="169" t="s">
        <v>286</v>
      </c>
      <c r="C66" s="167">
        <v>50000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>
        <v>0</v>
      </c>
      <c r="Q66" s="17">
        <v>12093</v>
      </c>
      <c r="R66" s="83">
        <v>0</v>
      </c>
      <c r="S66" s="18">
        <f t="shared" si="33"/>
        <v>12093</v>
      </c>
      <c r="T66" s="19"/>
      <c r="U66" s="20"/>
      <c r="V66" s="21"/>
      <c r="W66" s="18"/>
      <c r="X66" s="19"/>
      <c r="Y66" s="3"/>
      <c r="Z66" s="3"/>
      <c r="AA66" s="3"/>
      <c r="AB66" s="3"/>
      <c r="AC66" s="3"/>
      <c r="AD66" s="3"/>
      <c r="AE66" s="3"/>
      <c r="AF66" s="3"/>
    </row>
    <row r="67" spans="1:32">
      <c r="A67" s="163" t="s">
        <v>213</v>
      </c>
      <c r="B67" s="169" t="s">
        <v>74</v>
      </c>
      <c r="C67" s="167">
        <v>50000</v>
      </c>
      <c r="D67" s="17">
        <f t="shared" si="34"/>
        <v>4166.666666666667</v>
      </c>
      <c r="E67" s="17"/>
      <c r="F67" s="17">
        <v>46279.6</v>
      </c>
      <c r="G67" s="17"/>
      <c r="H67" s="17"/>
      <c r="I67" s="17"/>
      <c r="J67" s="17"/>
      <c r="K67" s="17"/>
      <c r="L67" s="17"/>
      <c r="M67" s="17"/>
      <c r="N67" s="17"/>
      <c r="O67" s="17"/>
      <c r="P67" s="17">
        <v>0</v>
      </c>
      <c r="Q67" s="17">
        <v>0</v>
      </c>
      <c r="R67" s="83">
        <v>0</v>
      </c>
      <c r="S67" s="18">
        <f t="shared" si="33"/>
        <v>0</v>
      </c>
      <c r="T67" s="19">
        <f t="shared" ref="T67:T73" si="35">+S67/C67</f>
        <v>0</v>
      </c>
      <c r="U67" s="20">
        <f>+C67-S67</f>
        <v>50000</v>
      </c>
      <c r="V67" s="21">
        <f>+U67/C67</f>
        <v>1</v>
      </c>
      <c r="W67" s="18">
        <f t="shared" ref="W67:W73" si="36">+C67-S67</f>
        <v>50000</v>
      </c>
      <c r="X67" s="19">
        <f t="shared" ref="X67:X73" si="37">+W67/C67</f>
        <v>1</v>
      </c>
      <c r="Y67" s="3"/>
      <c r="Z67" s="3"/>
      <c r="AA67" s="3"/>
      <c r="AB67" s="3"/>
      <c r="AC67" s="3"/>
      <c r="AD67" s="3"/>
      <c r="AE67" s="3"/>
      <c r="AF67" s="3"/>
    </row>
    <row r="68" spans="1:32" s="3" customFormat="1">
      <c r="A68" s="163" t="s">
        <v>270</v>
      </c>
      <c r="B68" s="169" t="s">
        <v>271</v>
      </c>
      <c r="C68" s="167">
        <v>250000</v>
      </c>
      <c r="D68" s="17">
        <f t="shared" si="34"/>
        <v>20833.333333333332</v>
      </c>
      <c r="E68" s="17">
        <v>5188.88</v>
      </c>
      <c r="F68" s="17">
        <v>4124.82</v>
      </c>
      <c r="G68" s="17">
        <v>39267.74</v>
      </c>
      <c r="H68" s="17">
        <v>5709.5</v>
      </c>
      <c r="I68" s="17">
        <v>1273.23</v>
      </c>
      <c r="J68" s="17">
        <v>3185</v>
      </c>
      <c r="K68" s="17">
        <v>9934.48</v>
      </c>
      <c r="L68" s="17">
        <v>2969.75</v>
      </c>
      <c r="M68" s="17">
        <v>7877.39</v>
      </c>
      <c r="N68" s="17">
        <v>6168.68</v>
      </c>
      <c r="O68" s="17">
        <v>17888.41</v>
      </c>
      <c r="P68" s="83">
        <v>88028</v>
      </c>
      <c r="Q68" s="83">
        <v>0</v>
      </c>
      <c r="R68" s="83">
        <v>596.95000000000005</v>
      </c>
      <c r="S68" s="18">
        <f t="shared" si="33"/>
        <v>88028</v>
      </c>
      <c r="T68" s="19">
        <f t="shared" si="35"/>
        <v>0.35211199999999998</v>
      </c>
      <c r="U68" s="20">
        <f>+C68-S68</f>
        <v>161972</v>
      </c>
      <c r="V68" s="21">
        <f>+U68/C68</f>
        <v>0.64788800000000002</v>
      </c>
      <c r="W68" s="18">
        <f t="shared" si="36"/>
        <v>161972</v>
      </c>
      <c r="X68" s="19">
        <f t="shared" si="37"/>
        <v>0.64788800000000002</v>
      </c>
    </row>
    <row r="69" spans="1:32" s="3" customFormat="1">
      <c r="A69" s="163" t="s">
        <v>214</v>
      </c>
      <c r="B69" s="169" t="s">
        <v>75</v>
      </c>
      <c r="C69" s="167">
        <v>125000</v>
      </c>
      <c r="D69" s="17">
        <f>+C69/12</f>
        <v>10416.666666666666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83">
        <v>7121.72</v>
      </c>
      <c r="Q69" s="83">
        <v>7237.85</v>
      </c>
      <c r="R69" s="83">
        <v>139873.89000000001</v>
      </c>
      <c r="S69" s="18">
        <f t="shared" si="33"/>
        <v>14359.57</v>
      </c>
      <c r="T69" s="19">
        <f t="shared" si="35"/>
        <v>0.11487656</v>
      </c>
      <c r="U69" s="20"/>
      <c r="V69" s="21"/>
      <c r="W69" s="18">
        <f t="shared" si="36"/>
        <v>110640.43</v>
      </c>
      <c r="X69" s="19">
        <f t="shared" si="37"/>
        <v>0.88512343999999998</v>
      </c>
    </row>
    <row r="70" spans="1:32" s="3" customFormat="1">
      <c r="A70" s="163" t="s">
        <v>258</v>
      </c>
      <c r="B70" s="169" t="s">
        <v>259</v>
      </c>
      <c r="C70" s="167">
        <f>6000000-300000</f>
        <v>5700000</v>
      </c>
      <c r="D70" s="17">
        <v>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83">
        <v>2375635</v>
      </c>
      <c r="Q70" s="83">
        <v>0</v>
      </c>
      <c r="R70" s="83">
        <v>0</v>
      </c>
      <c r="S70" s="18">
        <f t="shared" si="33"/>
        <v>2375635</v>
      </c>
      <c r="T70" s="19">
        <f t="shared" si="35"/>
        <v>0.41677807017543861</v>
      </c>
      <c r="U70" s="20"/>
      <c r="V70" s="21"/>
      <c r="W70" s="18">
        <f t="shared" si="36"/>
        <v>3324365</v>
      </c>
      <c r="X70" s="19">
        <f t="shared" si="37"/>
        <v>0.58322192982456145</v>
      </c>
    </row>
    <row r="71" spans="1:32" s="3" customFormat="1">
      <c r="A71" s="163" t="s">
        <v>215</v>
      </c>
      <c r="B71" s="169" t="s">
        <v>76</v>
      </c>
      <c r="C71" s="167">
        <v>700000</v>
      </c>
      <c r="D71" s="17">
        <f t="shared" si="34"/>
        <v>58333.333333333336</v>
      </c>
      <c r="E71" s="17">
        <v>86140</v>
      </c>
      <c r="F71" s="17"/>
      <c r="G71" s="17"/>
      <c r="H71" s="17">
        <v>371694.1</v>
      </c>
      <c r="I71" s="17">
        <v>738562</v>
      </c>
      <c r="J71" s="17">
        <v>733623.7</v>
      </c>
      <c r="K71" s="17"/>
      <c r="L71" s="17">
        <v>931294.67</v>
      </c>
      <c r="M71" s="17"/>
      <c r="N71" s="17"/>
      <c r="O71" s="17"/>
      <c r="P71" s="85">
        <v>0</v>
      </c>
      <c r="Q71" s="85">
        <v>1500</v>
      </c>
      <c r="R71" s="83">
        <v>616031.75</v>
      </c>
      <c r="S71" s="18">
        <f t="shared" si="33"/>
        <v>1500</v>
      </c>
      <c r="T71" s="19">
        <f t="shared" si="35"/>
        <v>2.142857142857143E-3</v>
      </c>
      <c r="U71" s="20"/>
      <c r="V71" s="21"/>
      <c r="W71" s="18">
        <f t="shared" si="36"/>
        <v>698500</v>
      </c>
      <c r="X71" s="19">
        <f t="shared" si="37"/>
        <v>0.99785714285714289</v>
      </c>
    </row>
    <row r="72" spans="1:32" s="3" customFormat="1">
      <c r="A72" s="163" t="s">
        <v>260</v>
      </c>
      <c r="B72" s="169" t="s">
        <v>261</v>
      </c>
      <c r="C72" s="167">
        <v>708000</v>
      </c>
      <c r="D72" s="17">
        <f t="shared" si="34"/>
        <v>59000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83">
        <v>1000</v>
      </c>
      <c r="Q72" s="83">
        <v>706920.66</v>
      </c>
      <c r="R72" s="83">
        <v>380465.91999999998</v>
      </c>
      <c r="S72" s="18">
        <f t="shared" si="33"/>
        <v>707920.66</v>
      </c>
      <c r="T72" s="19">
        <f t="shared" si="35"/>
        <v>0.99988793785310737</v>
      </c>
      <c r="U72" s="20"/>
      <c r="V72" s="21"/>
      <c r="W72" s="18">
        <f t="shared" si="36"/>
        <v>79.339999999967404</v>
      </c>
      <c r="X72" s="19">
        <f t="shared" si="37"/>
        <v>1.1206214689260932E-4</v>
      </c>
    </row>
    <row r="73" spans="1:32" s="3" customFormat="1">
      <c r="A73" s="163" t="s">
        <v>272</v>
      </c>
      <c r="B73" s="169" t="s">
        <v>273</v>
      </c>
      <c r="C73" s="167">
        <v>5000000</v>
      </c>
      <c r="D73" s="17">
        <f t="shared" si="34"/>
        <v>416666.66666666669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>
        <v>3294610</v>
      </c>
      <c r="Q73" s="17">
        <v>0</v>
      </c>
      <c r="R73" s="83">
        <v>0</v>
      </c>
      <c r="S73" s="18">
        <f t="shared" si="33"/>
        <v>3294610</v>
      </c>
      <c r="T73" s="19">
        <f t="shared" si="35"/>
        <v>0.65892200000000001</v>
      </c>
      <c r="U73" s="20">
        <f>+C73-S73</f>
        <v>1705390</v>
      </c>
      <c r="V73" s="21">
        <f>+U73/C73</f>
        <v>0.34107799999999999</v>
      </c>
      <c r="W73" s="18">
        <f t="shared" si="36"/>
        <v>1705390</v>
      </c>
      <c r="X73" s="19">
        <f t="shared" si="37"/>
        <v>0.34107799999999999</v>
      </c>
    </row>
    <row r="74" spans="1:32" s="3" customFormat="1" ht="30" hidden="1">
      <c r="A74" s="171" t="s">
        <v>77</v>
      </c>
      <c r="B74" s="172" t="s">
        <v>78</v>
      </c>
      <c r="C74" s="16">
        <v>0</v>
      </c>
      <c r="D74" s="17">
        <v>0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26"/>
      <c r="T74" s="26"/>
      <c r="U74" s="16">
        <v>0</v>
      </c>
      <c r="V74" s="16"/>
      <c r="W74" s="26"/>
      <c r="X74" s="26"/>
    </row>
    <row r="75" spans="1:32" s="3" customFormat="1">
      <c r="A75" s="88" t="s">
        <v>79</v>
      </c>
      <c r="B75" s="24" t="s">
        <v>80</v>
      </c>
      <c r="C75" s="9">
        <f>SUM(C76:C79)</f>
        <v>9300000</v>
      </c>
      <c r="D75" s="9">
        <f>SUM(D76:D80)</f>
        <v>775000</v>
      </c>
      <c r="E75" s="10">
        <f t="shared" ref="E75:O75" si="38">SUM(E76:E80)</f>
        <v>18457.3</v>
      </c>
      <c r="F75" s="10">
        <f t="shared" si="38"/>
        <v>164579.26</v>
      </c>
      <c r="G75" s="10">
        <f t="shared" si="38"/>
        <v>187184.86</v>
      </c>
      <c r="H75" s="10">
        <f t="shared" si="38"/>
        <v>180288.96</v>
      </c>
      <c r="I75" s="10">
        <f t="shared" si="38"/>
        <v>369537.2</v>
      </c>
      <c r="J75" s="10">
        <f t="shared" si="38"/>
        <v>27645.3</v>
      </c>
      <c r="K75" s="10">
        <f t="shared" si="38"/>
        <v>734034.67999999993</v>
      </c>
      <c r="L75" s="10">
        <f t="shared" si="38"/>
        <v>396953.1</v>
      </c>
      <c r="M75" s="10">
        <f t="shared" si="38"/>
        <v>133548.91999999998</v>
      </c>
      <c r="N75" s="10">
        <f t="shared" si="38"/>
        <v>10868.72</v>
      </c>
      <c r="O75" s="10">
        <f t="shared" si="38"/>
        <v>148629.72</v>
      </c>
      <c r="P75" s="10">
        <f>SUM(P76:P79)</f>
        <v>3840273.33</v>
      </c>
      <c r="Q75" s="10">
        <f>+Q76+Q77+Q78+Q79</f>
        <v>3171863.45</v>
      </c>
      <c r="R75" s="10">
        <f>+R76+R77+R78+R79</f>
        <v>4902463.78</v>
      </c>
      <c r="S75" s="11">
        <f>+S76+S78+S79</f>
        <v>6733420.7800000003</v>
      </c>
      <c r="T75" s="12">
        <f t="shared" ref="T75:T80" si="39">+S75/C75</f>
        <v>0.72402373978494627</v>
      </c>
      <c r="U75" s="13">
        <f>+C75-S75</f>
        <v>2566579.2199999997</v>
      </c>
      <c r="V75" s="14">
        <f>+U75/C75</f>
        <v>0.27597626021505373</v>
      </c>
      <c r="W75" s="96">
        <f>+W76+W78+W79</f>
        <v>1066579.22</v>
      </c>
      <c r="X75" s="97">
        <f>+W75/C75</f>
        <v>0.1146859376344086</v>
      </c>
    </row>
    <row r="76" spans="1:32" s="3" customFormat="1">
      <c r="A76" s="163" t="s">
        <v>274</v>
      </c>
      <c r="B76" s="164" t="s">
        <v>275</v>
      </c>
      <c r="C76" s="167">
        <v>6800000</v>
      </c>
      <c r="D76" s="17">
        <f t="shared" ref="D76:D79" si="40">+C76/12</f>
        <v>566666.66666666663</v>
      </c>
      <c r="E76" s="17">
        <v>9228.65</v>
      </c>
      <c r="F76" s="17">
        <v>6828.63</v>
      </c>
      <c r="G76" s="17">
        <v>18131.43</v>
      </c>
      <c r="H76" s="17">
        <v>14683.48</v>
      </c>
      <c r="I76" s="17">
        <v>12252.6</v>
      </c>
      <c r="J76" s="17">
        <v>7686.65</v>
      </c>
      <c r="K76" s="17">
        <v>139159.34</v>
      </c>
      <c r="L76" s="17">
        <v>73207.75</v>
      </c>
      <c r="M76" s="17">
        <v>22524.46</v>
      </c>
      <c r="N76" s="17">
        <v>5434.36</v>
      </c>
      <c r="O76" s="17">
        <v>74014.86</v>
      </c>
      <c r="P76" s="17">
        <f>13253.31+3815950.02</f>
        <v>3829203.33</v>
      </c>
      <c r="Q76" s="17">
        <f>13347.65+2878808.6</f>
        <v>2892156.25</v>
      </c>
      <c r="R76" s="83">
        <v>3730225.3</v>
      </c>
      <c r="S76" s="18">
        <f t="shared" ref="S76:S79" si="41">+P76+Q76</f>
        <v>6721359.5800000001</v>
      </c>
      <c r="T76" s="19">
        <f t="shared" si="39"/>
        <v>0.98843523235294117</v>
      </c>
      <c r="U76" s="20">
        <f>+C76-S76</f>
        <v>78640.419999999925</v>
      </c>
      <c r="V76" s="21">
        <f>+U76/C76</f>
        <v>1.1564767647058813E-2</v>
      </c>
      <c r="W76" s="18">
        <f>+C76-S76</f>
        <v>78640.419999999925</v>
      </c>
      <c r="X76" s="19">
        <f>+W76/C76</f>
        <v>1.1564767647058813E-2</v>
      </c>
    </row>
    <row r="77" spans="1:32" s="3" customFormat="1">
      <c r="A77" s="163" t="s">
        <v>216</v>
      </c>
      <c r="B77" s="164" t="s">
        <v>81</v>
      </c>
      <c r="C77" s="167">
        <v>1500000</v>
      </c>
      <c r="D77" s="17">
        <f t="shared" si="40"/>
        <v>125000</v>
      </c>
      <c r="E77" s="17">
        <v>9228.65</v>
      </c>
      <c r="F77" s="17">
        <v>6828.63</v>
      </c>
      <c r="G77" s="17">
        <v>18131.43</v>
      </c>
      <c r="H77" s="17">
        <v>14683.48</v>
      </c>
      <c r="I77" s="17">
        <v>12252.6</v>
      </c>
      <c r="J77" s="17">
        <v>7686.65</v>
      </c>
      <c r="K77" s="17">
        <v>139159.34</v>
      </c>
      <c r="L77" s="17">
        <v>73207.75</v>
      </c>
      <c r="M77" s="17">
        <v>22524.46</v>
      </c>
      <c r="N77" s="17">
        <v>5434.36</v>
      </c>
      <c r="O77" s="17">
        <v>74014.86</v>
      </c>
      <c r="P77" s="17">
        <v>0</v>
      </c>
      <c r="Q77" s="17">
        <v>278716</v>
      </c>
      <c r="R77" s="83">
        <v>1112032</v>
      </c>
      <c r="S77" s="18">
        <f t="shared" si="41"/>
        <v>278716</v>
      </c>
      <c r="T77" s="19">
        <f t="shared" si="39"/>
        <v>0.18581066666666668</v>
      </c>
      <c r="U77" s="20"/>
      <c r="V77" s="21"/>
      <c r="W77" s="18">
        <f>+C77-S77</f>
        <v>1221284</v>
      </c>
      <c r="X77" s="19">
        <f>+W77/C77</f>
        <v>0.81418933333333332</v>
      </c>
    </row>
    <row r="78" spans="1:32" s="3" customFormat="1">
      <c r="A78" s="163" t="s">
        <v>217</v>
      </c>
      <c r="B78" s="164" t="s">
        <v>82</v>
      </c>
      <c r="C78" s="167">
        <v>900000</v>
      </c>
      <c r="D78" s="17">
        <f t="shared" si="40"/>
        <v>75000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83">
        <v>11070</v>
      </c>
      <c r="Q78" s="83">
        <v>991.2</v>
      </c>
      <c r="R78" s="83">
        <v>59936.5</v>
      </c>
      <c r="S78" s="18">
        <f t="shared" si="41"/>
        <v>12061.2</v>
      </c>
      <c r="T78" s="19">
        <f t="shared" si="39"/>
        <v>1.3401333333333335E-2</v>
      </c>
      <c r="U78" s="20">
        <f>+C78-S78</f>
        <v>887938.8</v>
      </c>
      <c r="V78" s="21">
        <f>+U78/C78</f>
        <v>0.98659866666666673</v>
      </c>
      <c r="W78" s="18">
        <f>+C78-S78</f>
        <v>887938.8</v>
      </c>
      <c r="X78" s="19">
        <f>+W78/C78</f>
        <v>0.98659866666666673</v>
      </c>
    </row>
    <row r="79" spans="1:32" s="3" customFormat="1">
      <c r="A79" s="163" t="s">
        <v>218</v>
      </c>
      <c r="B79" s="164" t="s">
        <v>250</v>
      </c>
      <c r="C79" s="167">
        <v>100000</v>
      </c>
      <c r="D79" s="17">
        <f t="shared" si="40"/>
        <v>8333.3333333333339</v>
      </c>
      <c r="E79" s="17"/>
      <c r="F79" s="17">
        <v>150922</v>
      </c>
      <c r="G79" s="17">
        <v>150922</v>
      </c>
      <c r="H79" s="17">
        <v>150922</v>
      </c>
      <c r="I79" s="17">
        <v>345032</v>
      </c>
      <c r="J79" s="17">
        <v>12272</v>
      </c>
      <c r="K79" s="17">
        <v>455716</v>
      </c>
      <c r="L79" s="17">
        <v>250537.60000000001</v>
      </c>
      <c r="M79" s="17">
        <v>88500</v>
      </c>
      <c r="N79" s="17"/>
      <c r="O79" s="17">
        <v>600</v>
      </c>
      <c r="P79" s="17">
        <v>0</v>
      </c>
      <c r="Q79" s="17">
        <v>0</v>
      </c>
      <c r="R79" s="83">
        <v>269.98</v>
      </c>
      <c r="S79" s="18">
        <f t="shared" si="41"/>
        <v>0</v>
      </c>
      <c r="T79" s="19">
        <f t="shared" si="39"/>
        <v>0</v>
      </c>
      <c r="U79" s="20">
        <f>+C79-S79</f>
        <v>100000</v>
      </c>
      <c r="V79" s="21">
        <f>+U79/C79</f>
        <v>1</v>
      </c>
      <c r="W79" s="18">
        <f>+C79-S79</f>
        <v>100000</v>
      </c>
      <c r="X79" s="19">
        <f>+W79/C79</f>
        <v>1</v>
      </c>
    </row>
    <row r="80" spans="1:32" s="3" customFormat="1" hidden="1">
      <c r="A80" s="168" t="s">
        <v>218</v>
      </c>
      <c r="B80" s="169" t="s">
        <v>83</v>
      </c>
      <c r="C80" s="167">
        <v>100000</v>
      </c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26">
        <f t="shared" ref="S80" si="42">SUM(E80:P80)</f>
        <v>0</v>
      </c>
      <c r="T80" s="19">
        <f t="shared" si="39"/>
        <v>0</v>
      </c>
      <c r="U80" s="20">
        <f>+C80-S80</f>
        <v>100000</v>
      </c>
      <c r="V80" s="21">
        <f>+U80/C80</f>
        <v>1</v>
      </c>
      <c r="W80" s="26">
        <f t="shared" ref="W80" si="43">SUM(I80:V80)</f>
        <v>100001</v>
      </c>
      <c r="X80" s="19" t="e">
        <f>+W80/G80</f>
        <v>#DIV/0!</v>
      </c>
    </row>
    <row r="81" spans="1:32" s="34" customFormat="1" hidden="1">
      <c r="A81" s="88" t="s">
        <v>84</v>
      </c>
      <c r="B81" s="24" t="s">
        <v>85</v>
      </c>
      <c r="C81" s="32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26"/>
      <c r="T81" s="26"/>
      <c r="U81" s="32"/>
      <c r="V81" s="32"/>
      <c r="W81" s="26"/>
      <c r="X81" s="26"/>
      <c r="Y81" s="1"/>
      <c r="Z81" s="1"/>
      <c r="AA81" s="1"/>
      <c r="AB81" s="1"/>
      <c r="AC81" s="1"/>
      <c r="AD81" s="1"/>
      <c r="AE81" s="1"/>
      <c r="AF81" s="29"/>
    </row>
    <row r="82" spans="1:32" s="29" customFormat="1" hidden="1">
      <c r="A82" s="40" t="s">
        <v>86</v>
      </c>
      <c r="B82" s="28" t="s">
        <v>87</v>
      </c>
      <c r="C82" s="35">
        <v>0</v>
      </c>
      <c r="D82" s="17">
        <v>0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26"/>
      <c r="T82" s="26"/>
      <c r="U82" s="35">
        <v>0</v>
      </c>
      <c r="V82" s="35"/>
      <c r="W82" s="26"/>
      <c r="X82" s="26"/>
      <c r="Y82" s="1"/>
      <c r="Z82" s="1"/>
      <c r="AA82" s="1"/>
      <c r="AB82" s="1"/>
      <c r="AC82" s="1"/>
      <c r="AD82" s="1"/>
      <c r="AE82" s="1"/>
    </row>
    <row r="83" spans="1:32" s="3" customFormat="1" hidden="1">
      <c r="A83" s="40" t="s">
        <v>88</v>
      </c>
      <c r="B83" s="28" t="s">
        <v>89</v>
      </c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26"/>
      <c r="T83" s="26"/>
      <c r="U83" s="16"/>
      <c r="V83" s="16"/>
      <c r="W83" s="26"/>
      <c r="X83" s="26"/>
      <c r="Y83" s="1"/>
      <c r="Z83" s="1"/>
      <c r="AA83" s="1"/>
      <c r="AB83" s="1"/>
      <c r="AC83" s="1"/>
      <c r="AD83" s="1"/>
      <c r="AE83" s="1"/>
      <c r="AF83" s="29"/>
    </row>
    <row r="84" spans="1:32" s="29" customFormat="1" hidden="1">
      <c r="A84" s="40" t="s">
        <v>90</v>
      </c>
      <c r="B84" s="28" t="s">
        <v>91</v>
      </c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26"/>
      <c r="T84" s="26"/>
      <c r="U84" s="16"/>
      <c r="V84" s="16"/>
      <c r="W84" s="26"/>
      <c r="X84" s="26"/>
      <c r="Y84" s="1"/>
      <c r="Z84" s="1"/>
      <c r="AA84" s="1"/>
      <c r="AB84" s="1"/>
      <c r="AC84" s="1"/>
      <c r="AD84" s="1"/>
      <c r="AE84" s="1"/>
    </row>
    <row r="85" spans="1:32" s="29" customFormat="1" hidden="1">
      <c r="A85" s="40" t="s">
        <v>92</v>
      </c>
      <c r="B85" s="28" t="s">
        <v>93</v>
      </c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26"/>
      <c r="T85" s="26"/>
      <c r="U85" s="16"/>
      <c r="V85" s="16"/>
      <c r="W85" s="26"/>
      <c r="X85" s="26"/>
      <c r="Y85" s="1"/>
      <c r="Z85" s="1"/>
      <c r="AA85" s="1"/>
      <c r="AB85" s="1"/>
      <c r="AC85" s="1"/>
      <c r="AD85" s="1"/>
      <c r="AE85" s="1"/>
    </row>
    <row r="86" spans="1:32" s="37" customFormat="1">
      <c r="A86" s="88" t="s">
        <v>84</v>
      </c>
      <c r="B86" s="24" t="s">
        <v>85</v>
      </c>
      <c r="C86" s="9">
        <f t="shared" ref="C86:O86" si="44">SUM(C87:C90)</f>
        <v>7031340</v>
      </c>
      <c r="D86" s="9">
        <f t="shared" si="44"/>
        <v>585945</v>
      </c>
      <c r="E86" s="10">
        <f t="shared" si="44"/>
        <v>0</v>
      </c>
      <c r="F86" s="10">
        <f t="shared" si="44"/>
        <v>924.58</v>
      </c>
      <c r="G86" s="10">
        <f t="shared" si="44"/>
        <v>980</v>
      </c>
      <c r="H86" s="10">
        <f t="shared" si="44"/>
        <v>1355.02</v>
      </c>
      <c r="I86" s="10">
        <f t="shared" si="44"/>
        <v>120218.40000000001</v>
      </c>
      <c r="J86" s="10">
        <f t="shared" si="44"/>
        <v>55460</v>
      </c>
      <c r="K86" s="10">
        <f t="shared" si="44"/>
        <v>102789.94</v>
      </c>
      <c r="L86" s="10">
        <f t="shared" si="44"/>
        <v>3962373.71</v>
      </c>
      <c r="M86" s="10">
        <f t="shared" si="44"/>
        <v>5008693.75</v>
      </c>
      <c r="N86" s="10">
        <f>SUM(N87:N90)</f>
        <v>231564.91</v>
      </c>
      <c r="O86" s="10">
        <f t="shared" si="44"/>
        <v>324.89999999999998</v>
      </c>
      <c r="P86" s="10">
        <f>SUM(P87:P90)</f>
        <v>636174.96</v>
      </c>
      <c r="Q86" s="10">
        <f>+Q87+Q88+Q89+Q90</f>
        <v>3871</v>
      </c>
      <c r="R86" s="10">
        <f>+R87+R88+R89+R90</f>
        <v>4174397.22</v>
      </c>
      <c r="S86" s="11">
        <f>+S87+S88+S89+S90</f>
        <v>640045.96</v>
      </c>
      <c r="T86" s="12">
        <f t="shared" ref="T86:T113" si="45">+S86/C86</f>
        <v>9.1027593602357446E-2</v>
      </c>
      <c r="U86" s="13">
        <f>+C86-S86</f>
        <v>6391294.04</v>
      </c>
      <c r="V86" s="14">
        <f>+U86/C86</f>
        <v>0.90897240639764254</v>
      </c>
      <c r="W86" s="96">
        <f>+W87+W88+W89+W90</f>
        <v>6391294.04</v>
      </c>
      <c r="X86" s="97">
        <f t="shared" ref="X86:X113" si="46">+W86/C86</f>
        <v>0.90897240639764254</v>
      </c>
    </row>
    <row r="87" spans="1:32" s="3" customFormat="1">
      <c r="A87" s="168" t="s">
        <v>299</v>
      </c>
      <c r="B87" s="169" t="s">
        <v>87</v>
      </c>
      <c r="C87" s="167">
        <v>54000</v>
      </c>
      <c r="D87" s="17">
        <f t="shared" ref="D87:D113" si="47">+C87/12</f>
        <v>4500</v>
      </c>
      <c r="E87" s="17"/>
      <c r="F87" s="17">
        <v>924.58</v>
      </c>
      <c r="G87" s="17">
        <v>980</v>
      </c>
      <c r="H87" s="17">
        <f>530.02+825</f>
        <v>1355.02</v>
      </c>
      <c r="I87" s="17">
        <f>160.22+10867.8</f>
        <v>11028.019999999999</v>
      </c>
      <c r="J87" s="17"/>
      <c r="K87" s="17">
        <f>1628.54+79532</f>
        <v>81160.539999999994</v>
      </c>
      <c r="L87" s="17">
        <f>6514.3+812347.2</f>
        <v>818861.5</v>
      </c>
      <c r="M87" s="17"/>
      <c r="N87" s="17">
        <f>874.91+230690</f>
        <v>231564.91</v>
      </c>
      <c r="O87" s="17">
        <v>324.89999999999998</v>
      </c>
      <c r="P87" s="83">
        <v>1600.08</v>
      </c>
      <c r="Q87" s="83">
        <v>95</v>
      </c>
      <c r="R87" s="83">
        <v>555</v>
      </c>
      <c r="S87" s="18">
        <f t="shared" ref="S87:S113" si="48">+P87+Q87</f>
        <v>1695.08</v>
      </c>
      <c r="T87" s="19">
        <f t="shared" si="45"/>
        <v>3.1390370370370367E-2</v>
      </c>
      <c r="U87" s="20">
        <f>+C87-S87</f>
        <v>52304.92</v>
      </c>
      <c r="V87" s="21">
        <f>+U87/C87</f>
        <v>0.9686096296296296</v>
      </c>
      <c r="W87" s="18">
        <f>+C87-S87</f>
        <v>52304.92</v>
      </c>
      <c r="X87" s="19">
        <f t="shared" si="46"/>
        <v>0.9686096296296296</v>
      </c>
    </row>
    <row r="88" spans="1:32" s="3" customFormat="1">
      <c r="A88" s="168" t="s">
        <v>300</v>
      </c>
      <c r="B88" s="169" t="s">
        <v>89</v>
      </c>
      <c r="C88" s="167">
        <v>920000</v>
      </c>
      <c r="D88" s="17">
        <f t="shared" si="47"/>
        <v>76666.666666666672</v>
      </c>
      <c r="E88" s="17"/>
      <c r="F88" s="17"/>
      <c r="G88" s="17"/>
      <c r="H88" s="17"/>
      <c r="I88" s="17">
        <v>107380</v>
      </c>
      <c r="J88" s="17">
        <v>55460</v>
      </c>
      <c r="K88" s="17">
        <v>21629.4</v>
      </c>
      <c r="L88" s="17">
        <v>2060862.21</v>
      </c>
      <c r="M88" s="17">
        <v>2303912.5</v>
      </c>
      <c r="N88" s="17"/>
      <c r="O88" s="17"/>
      <c r="P88" s="83">
        <v>414014.8</v>
      </c>
      <c r="Q88" s="83">
        <v>3776</v>
      </c>
      <c r="R88" s="83">
        <v>820169</v>
      </c>
      <c r="S88" s="18">
        <f t="shared" si="48"/>
        <v>417790.8</v>
      </c>
      <c r="T88" s="19">
        <f t="shared" si="45"/>
        <v>0.45412043478260866</v>
      </c>
      <c r="U88" s="20">
        <f>+C88-S88</f>
        <v>502209.2</v>
      </c>
      <c r="V88" s="21">
        <f>+U88/C88</f>
        <v>0.54587956521739134</v>
      </c>
      <c r="W88" s="18">
        <f>+C88-S88</f>
        <v>502209.2</v>
      </c>
      <c r="X88" s="19">
        <f t="shared" si="46"/>
        <v>0.54587956521739134</v>
      </c>
    </row>
    <row r="89" spans="1:32" s="3" customFormat="1">
      <c r="A89" s="168" t="s">
        <v>301</v>
      </c>
      <c r="B89" s="169" t="s">
        <v>91</v>
      </c>
      <c r="C89" s="167">
        <v>4287340</v>
      </c>
      <c r="D89" s="17">
        <f t="shared" si="47"/>
        <v>357278.33333333331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83">
        <v>220560.08</v>
      </c>
      <c r="Q89" s="83">
        <v>0</v>
      </c>
      <c r="R89" s="83">
        <v>2483423.2200000002</v>
      </c>
      <c r="S89" s="18">
        <f t="shared" si="48"/>
        <v>220560.08</v>
      </c>
      <c r="T89" s="19">
        <f t="shared" si="45"/>
        <v>5.1444504051463141E-2</v>
      </c>
      <c r="U89" s="20"/>
      <c r="V89" s="21"/>
      <c r="W89" s="18">
        <f>+C89-S89</f>
        <v>4066779.92</v>
      </c>
      <c r="X89" s="19">
        <f t="shared" si="46"/>
        <v>0.94855549594853683</v>
      </c>
    </row>
    <row r="90" spans="1:32" s="3" customFormat="1">
      <c r="A90" s="168" t="s">
        <v>302</v>
      </c>
      <c r="B90" s="169" t="s">
        <v>93</v>
      </c>
      <c r="C90" s="167">
        <v>1770000</v>
      </c>
      <c r="D90" s="17">
        <f t="shared" si="47"/>
        <v>147500</v>
      </c>
      <c r="E90" s="17"/>
      <c r="F90" s="17"/>
      <c r="G90" s="17"/>
      <c r="H90" s="17"/>
      <c r="I90" s="17">
        <v>1810.38</v>
      </c>
      <c r="J90" s="17"/>
      <c r="K90" s="17"/>
      <c r="L90" s="17">
        <v>1082650</v>
      </c>
      <c r="M90" s="17">
        <v>2704781.25</v>
      </c>
      <c r="N90" s="17"/>
      <c r="O90" s="17"/>
      <c r="P90" s="17">
        <v>0</v>
      </c>
      <c r="Q90" s="17">
        <v>0</v>
      </c>
      <c r="R90" s="83">
        <v>870250</v>
      </c>
      <c r="S90" s="18">
        <f t="shared" si="48"/>
        <v>0</v>
      </c>
      <c r="T90" s="19">
        <f t="shared" si="45"/>
        <v>0</v>
      </c>
      <c r="U90" s="20">
        <f t="shared" ref="U90:U113" si="49">+C90-S90</f>
        <v>1770000</v>
      </c>
      <c r="V90" s="21">
        <f t="shared" ref="V90:V113" si="50">+U90/C90</f>
        <v>1</v>
      </c>
      <c r="W90" s="18">
        <f>+C90-S90</f>
        <v>1770000</v>
      </c>
      <c r="X90" s="19">
        <f t="shared" si="46"/>
        <v>1</v>
      </c>
    </row>
    <row r="91" spans="1:32" s="34" customFormat="1">
      <c r="A91" s="88" t="s">
        <v>94</v>
      </c>
      <c r="B91" s="24" t="s">
        <v>95</v>
      </c>
      <c r="C91" s="9">
        <f t="shared" ref="C91:O91" si="51">SUM(C92:C95)</f>
        <v>1250000</v>
      </c>
      <c r="D91" s="9">
        <f>SUM(D92:D95)</f>
        <v>104166.66666666667</v>
      </c>
      <c r="E91" s="10">
        <f t="shared" si="51"/>
        <v>112430.25</v>
      </c>
      <c r="F91" s="10">
        <f t="shared" si="51"/>
        <v>885</v>
      </c>
      <c r="G91" s="10">
        <f t="shared" si="51"/>
        <v>2996.11</v>
      </c>
      <c r="H91" s="10">
        <f t="shared" si="51"/>
        <v>15036</v>
      </c>
      <c r="I91" s="10">
        <f t="shared" si="51"/>
        <v>59000</v>
      </c>
      <c r="J91" s="10">
        <f t="shared" si="51"/>
        <v>812254.5</v>
      </c>
      <c r="K91" s="10">
        <f t="shared" si="51"/>
        <v>229548.6</v>
      </c>
      <c r="L91" s="10">
        <f t="shared" si="51"/>
        <v>823017.2</v>
      </c>
      <c r="M91" s="10">
        <f t="shared" si="51"/>
        <v>5803.16</v>
      </c>
      <c r="N91" s="10">
        <f>SUM(N92:N95)</f>
        <v>194481.54</v>
      </c>
      <c r="O91" s="10">
        <f t="shared" si="51"/>
        <v>160</v>
      </c>
      <c r="P91" s="10">
        <f>SUM(P92:P95)</f>
        <v>181595.7</v>
      </c>
      <c r="Q91" s="10">
        <f>+Q92+Q93+Q94+Q95</f>
        <v>24786.04</v>
      </c>
      <c r="R91" s="10">
        <f>+R92+R93+R94+R95</f>
        <v>110633.34999999999</v>
      </c>
      <c r="S91" s="11">
        <f>+S92+S93+S94+S95</f>
        <v>206381.74000000002</v>
      </c>
      <c r="T91" s="12">
        <f t="shared" si="45"/>
        <v>0.16510539200000002</v>
      </c>
      <c r="U91" s="13">
        <f t="shared" si="49"/>
        <v>1043618.26</v>
      </c>
      <c r="V91" s="14">
        <f t="shared" si="50"/>
        <v>0.83489460800000004</v>
      </c>
      <c r="W91" s="96">
        <f>+W92+W93+W94+W95</f>
        <v>1043618.26</v>
      </c>
      <c r="X91" s="97">
        <f t="shared" si="46"/>
        <v>0.83489460800000004</v>
      </c>
      <c r="Y91" s="1"/>
      <c r="Z91" s="1"/>
      <c r="AA91" s="1"/>
      <c r="AB91" s="1"/>
      <c r="AC91" s="1"/>
      <c r="AD91" s="1"/>
      <c r="AE91" s="1"/>
      <c r="AF91" s="29"/>
    </row>
    <row r="92" spans="1:32" s="3" customFormat="1">
      <c r="A92" s="163" t="s">
        <v>219</v>
      </c>
      <c r="B92" s="164" t="s">
        <v>96</v>
      </c>
      <c r="C92" s="167">
        <v>400000</v>
      </c>
      <c r="D92" s="17">
        <f t="shared" si="47"/>
        <v>33333.333333333336</v>
      </c>
      <c r="E92" s="17"/>
      <c r="F92" s="17"/>
      <c r="G92" s="17"/>
      <c r="H92" s="17"/>
      <c r="I92" s="17"/>
      <c r="J92" s="17">
        <v>56640</v>
      </c>
      <c r="K92" s="17">
        <v>113280</v>
      </c>
      <c r="L92" s="17"/>
      <c r="M92" s="17">
        <v>1239</v>
      </c>
      <c r="N92" s="17">
        <v>155869.39000000001</v>
      </c>
      <c r="O92" s="17"/>
      <c r="P92" s="17">
        <v>0</v>
      </c>
      <c r="Q92" s="17">
        <v>1546.5</v>
      </c>
      <c r="R92" s="83">
        <v>81262.399999999994</v>
      </c>
      <c r="S92" s="18">
        <f t="shared" si="48"/>
        <v>1546.5</v>
      </c>
      <c r="T92" s="19">
        <f t="shared" si="45"/>
        <v>3.8662499999999999E-3</v>
      </c>
      <c r="U92" s="20">
        <f t="shared" si="49"/>
        <v>398453.5</v>
      </c>
      <c r="V92" s="21">
        <f t="shared" si="50"/>
        <v>0.99613375000000004</v>
      </c>
      <c r="W92" s="18">
        <f>+C92-S92</f>
        <v>398453.5</v>
      </c>
      <c r="X92" s="19">
        <f t="shared" si="46"/>
        <v>0.99613375000000004</v>
      </c>
      <c r="Y92" s="2"/>
      <c r="Z92" s="2"/>
      <c r="AA92" s="2"/>
      <c r="AB92" s="2"/>
      <c r="AC92" s="2"/>
      <c r="AD92" s="2"/>
      <c r="AE92" s="2"/>
      <c r="AF92" s="4"/>
    </row>
    <row r="93" spans="1:32" s="3" customFormat="1">
      <c r="A93" s="163" t="s">
        <v>220</v>
      </c>
      <c r="B93" s="164" t="s">
        <v>97</v>
      </c>
      <c r="C93" s="173">
        <v>300000</v>
      </c>
      <c r="D93" s="17">
        <f t="shared" si="47"/>
        <v>25000</v>
      </c>
      <c r="E93" s="17">
        <v>1099</v>
      </c>
      <c r="F93" s="17"/>
      <c r="G93" s="17">
        <v>2996.11</v>
      </c>
      <c r="H93" s="17">
        <v>236</v>
      </c>
      <c r="I93" s="17"/>
      <c r="J93" s="17">
        <v>1790.5</v>
      </c>
      <c r="K93" s="17">
        <v>71700</v>
      </c>
      <c r="L93" s="17">
        <v>2917.2</v>
      </c>
      <c r="M93" s="17">
        <v>4564.16</v>
      </c>
      <c r="N93" s="17">
        <v>1799.03</v>
      </c>
      <c r="O93" s="17"/>
      <c r="P93" s="83">
        <v>166845.70000000001</v>
      </c>
      <c r="Q93" s="83">
        <v>2239.54</v>
      </c>
      <c r="R93" s="83">
        <v>22185.95</v>
      </c>
      <c r="S93" s="18">
        <f t="shared" si="48"/>
        <v>169085.24000000002</v>
      </c>
      <c r="T93" s="19">
        <f t="shared" si="45"/>
        <v>0.56361746666666668</v>
      </c>
      <c r="U93" s="20">
        <f t="shared" si="49"/>
        <v>130914.75999999998</v>
      </c>
      <c r="V93" s="21">
        <f t="shared" si="50"/>
        <v>0.43638253333333327</v>
      </c>
      <c r="W93" s="18">
        <f>+C93-S93</f>
        <v>130914.75999999998</v>
      </c>
      <c r="X93" s="19">
        <f t="shared" si="46"/>
        <v>0.43638253333333327</v>
      </c>
      <c r="Y93" s="2"/>
      <c r="Z93" s="2"/>
      <c r="AA93" s="2"/>
      <c r="AB93" s="2"/>
      <c r="AC93" s="2"/>
      <c r="AD93" s="2"/>
      <c r="AE93" s="2"/>
      <c r="AF93" s="4"/>
    </row>
    <row r="94" spans="1:32" s="3" customFormat="1">
      <c r="A94" s="163" t="s">
        <v>221</v>
      </c>
      <c r="B94" s="164" t="s">
        <v>98</v>
      </c>
      <c r="C94" s="173">
        <v>200000</v>
      </c>
      <c r="D94" s="17">
        <f t="shared" si="47"/>
        <v>16666.666666666668</v>
      </c>
      <c r="E94" s="17">
        <v>94031.25</v>
      </c>
      <c r="F94" s="17">
        <v>885</v>
      </c>
      <c r="G94" s="17"/>
      <c r="H94" s="17"/>
      <c r="I94" s="17">
        <v>59000</v>
      </c>
      <c r="J94" s="17">
        <v>732824</v>
      </c>
      <c r="K94" s="17">
        <v>44568.6</v>
      </c>
      <c r="L94" s="17">
        <v>820100</v>
      </c>
      <c r="M94" s="17"/>
      <c r="N94" s="17">
        <v>36718.120000000003</v>
      </c>
      <c r="O94" s="17"/>
      <c r="P94" s="83">
        <v>14750</v>
      </c>
      <c r="Q94" s="83">
        <v>0</v>
      </c>
      <c r="R94" s="83">
        <v>7185</v>
      </c>
      <c r="S94" s="18">
        <f t="shared" si="48"/>
        <v>14750</v>
      </c>
      <c r="T94" s="19">
        <f t="shared" si="45"/>
        <v>7.3749999999999996E-2</v>
      </c>
      <c r="U94" s="20">
        <f t="shared" si="49"/>
        <v>185250</v>
      </c>
      <c r="V94" s="21">
        <f t="shared" si="50"/>
        <v>0.92625000000000002</v>
      </c>
      <c r="W94" s="18">
        <f>+C94-S94</f>
        <v>185250</v>
      </c>
      <c r="X94" s="19">
        <f t="shared" si="46"/>
        <v>0.92625000000000002</v>
      </c>
      <c r="Y94" s="2"/>
      <c r="Z94" s="2"/>
      <c r="AA94" s="2"/>
      <c r="AB94" s="2"/>
      <c r="AC94" s="2"/>
      <c r="AD94" s="2"/>
      <c r="AE94" s="2"/>
      <c r="AF94" s="4"/>
    </row>
    <row r="95" spans="1:32" s="3" customFormat="1">
      <c r="A95" s="163" t="s">
        <v>222</v>
      </c>
      <c r="B95" s="164" t="s">
        <v>99</v>
      </c>
      <c r="C95" s="173">
        <v>350000</v>
      </c>
      <c r="D95" s="17">
        <f t="shared" si="47"/>
        <v>29166.666666666668</v>
      </c>
      <c r="E95" s="39">
        <v>17300</v>
      </c>
      <c r="F95" s="39"/>
      <c r="G95" s="39"/>
      <c r="H95" s="39">
        <v>14800</v>
      </c>
      <c r="I95" s="39"/>
      <c r="J95" s="39">
        <v>21000</v>
      </c>
      <c r="K95" s="39"/>
      <c r="L95" s="39"/>
      <c r="M95" s="39"/>
      <c r="N95" s="39">
        <v>95</v>
      </c>
      <c r="O95" s="39">
        <v>160</v>
      </c>
      <c r="P95" s="39">
        <v>0</v>
      </c>
      <c r="Q95" s="39">
        <v>21000</v>
      </c>
      <c r="R95" s="83">
        <v>0</v>
      </c>
      <c r="S95" s="18">
        <f t="shared" si="48"/>
        <v>21000</v>
      </c>
      <c r="T95" s="19">
        <f t="shared" si="45"/>
        <v>0.06</v>
      </c>
      <c r="U95" s="20">
        <f t="shared" si="49"/>
        <v>329000</v>
      </c>
      <c r="V95" s="21">
        <f t="shared" si="50"/>
        <v>0.94</v>
      </c>
      <c r="W95" s="18">
        <f>+C95-S95</f>
        <v>329000</v>
      </c>
      <c r="X95" s="19">
        <f t="shared" si="46"/>
        <v>0.94</v>
      </c>
      <c r="Y95" s="2"/>
      <c r="Z95" s="2"/>
      <c r="AA95" s="2"/>
      <c r="AB95" s="2"/>
      <c r="AC95" s="2"/>
      <c r="AD95" s="2"/>
      <c r="AE95" s="2"/>
      <c r="AF95" s="4"/>
    </row>
    <row r="96" spans="1:32" s="3" customFormat="1">
      <c r="A96" s="88" t="s">
        <v>100</v>
      </c>
      <c r="B96" s="24" t="s">
        <v>101</v>
      </c>
      <c r="C96" s="9">
        <f t="shared" ref="C96:O96" si="52">SUM(C97:C98)</f>
        <v>750000</v>
      </c>
      <c r="D96" s="9">
        <f>SUM(D97:D98)</f>
        <v>62500</v>
      </c>
      <c r="E96" s="10">
        <f t="shared" si="52"/>
        <v>501641.87</v>
      </c>
      <c r="F96" s="10">
        <f t="shared" si="52"/>
        <v>300000</v>
      </c>
      <c r="G96" s="10">
        <f t="shared" si="52"/>
        <v>1996327.75</v>
      </c>
      <c r="H96" s="10">
        <f t="shared" si="52"/>
        <v>759054.74</v>
      </c>
      <c r="I96" s="10">
        <f t="shared" si="52"/>
        <v>0</v>
      </c>
      <c r="J96" s="10">
        <f t="shared" si="52"/>
        <v>0</v>
      </c>
      <c r="K96" s="10">
        <f t="shared" si="52"/>
        <v>0</v>
      </c>
      <c r="L96" s="10">
        <f t="shared" si="52"/>
        <v>0</v>
      </c>
      <c r="M96" s="10">
        <f t="shared" si="52"/>
        <v>0</v>
      </c>
      <c r="N96" s="10">
        <f t="shared" si="52"/>
        <v>93476.17</v>
      </c>
      <c r="O96" s="10">
        <f t="shared" si="52"/>
        <v>576091</v>
      </c>
      <c r="P96" s="10">
        <f>+P97+P98</f>
        <v>0</v>
      </c>
      <c r="Q96" s="10">
        <f>+Q97+Q98</f>
        <v>0</v>
      </c>
      <c r="R96" s="10">
        <f>+R97+R98</f>
        <v>9114</v>
      </c>
      <c r="S96" s="11">
        <f>+S97+S98</f>
        <v>0</v>
      </c>
      <c r="T96" s="12">
        <f t="shared" si="45"/>
        <v>0</v>
      </c>
      <c r="U96" s="13">
        <f t="shared" si="49"/>
        <v>750000</v>
      </c>
      <c r="V96" s="14">
        <f t="shared" si="50"/>
        <v>1</v>
      </c>
      <c r="W96" s="96">
        <f>+W97+W98</f>
        <v>750000</v>
      </c>
      <c r="X96" s="97">
        <f t="shared" si="46"/>
        <v>1</v>
      </c>
      <c r="Y96" s="2"/>
      <c r="Z96" s="2"/>
      <c r="AA96" s="2"/>
      <c r="AB96" s="2"/>
      <c r="AC96" s="2"/>
      <c r="AD96" s="2"/>
      <c r="AE96" s="2"/>
      <c r="AF96" s="4"/>
    </row>
    <row r="97" spans="1:32" s="40" customFormat="1">
      <c r="A97" s="174" t="s">
        <v>102</v>
      </c>
      <c r="B97" s="170" t="s">
        <v>103</v>
      </c>
      <c r="C97" s="167">
        <v>400000</v>
      </c>
      <c r="D97" s="17">
        <f t="shared" si="47"/>
        <v>33333.333333333336</v>
      </c>
      <c r="E97" s="17">
        <v>501641.87</v>
      </c>
      <c r="F97" s="17"/>
      <c r="G97" s="17">
        <v>1554121.75</v>
      </c>
      <c r="H97" s="17">
        <v>759054.74</v>
      </c>
      <c r="I97" s="17"/>
      <c r="J97" s="17"/>
      <c r="K97" s="17"/>
      <c r="L97" s="17"/>
      <c r="M97" s="17"/>
      <c r="N97" s="17">
        <v>93476.17</v>
      </c>
      <c r="O97" s="17">
        <v>3245</v>
      </c>
      <c r="P97" s="17">
        <v>0</v>
      </c>
      <c r="Q97" s="17">
        <v>0</v>
      </c>
      <c r="R97" s="83">
        <v>9114</v>
      </c>
      <c r="S97" s="18">
        <f t="shared" si="48"/>
        <v>0</v>
      </c>
      <c r="T97" s="19">
        <f t="shared" si="45"/>
        <v>0</v>
      </c>
      <c r="U97" s="20">
        <f t="shared" si="49"/>
        <v>400000</v>
      </c>
      <c r="V97" s="21">
        <f t="shared" si="50"/>
        <v>1</v>
      </c>
      <c r="W97" s="18">
        <f>+C97-S97</f>
        <v>400000</v>
      </c>
      <c r="X97" s="19">
        <f t="shared" si="46"/>
        <v>1</v>
      </c>
      <c r="Y97" s="37"/>
      <c r="Z97" s="37"/>
      <c r="AA97" s="37"/>
      <c r="AB97" s="37"/>
      <c r="AC97" s="37"/>
      <c r="AD97" s="37"/>
      <c r="AE97" s="37"/>
    </row>
    <row r="98" spans="1:32" s="40" customFormat="1">
      <c r="A98" s="174" t="s">
        <v>104</v>
      </c>
      <c r="B98" s="170" t="s">
        <v>105</v>
      </c>
      <c r="C98" s="167">
        <v>350000</v>
      </c>
      <c r="D98" s="17">
        <f t="shared" si="47"/>
        <v>29166.666666666668</v>
      </c>
      <c r="E98" s="17"/>
      <c r="F98" s="17">
        <v>300000</v>
      </c>
      <c r="G98" s="17">
        <v>442206</v>
      </c>
      <c r="H98" s="17"/>
      <c r="I98" s="17"/>
      <c r="J98" s="17"/>
      <c r="K98" s="17"/>
      <c r="L98" s="17"/>
      <c r="M98" s="17"/>
      <c r="N98" s="17"/>
      <c r="O98" s="17">
        <v>572846</v>
      </c>
      <c r="P98" s="17">
        <v>0</v>
      </c>
      <c r="Q98" s="17">
        <v>0</v>
      </c>
      <c r="R98" s="83">
        <v>0</v>
      </c>
      <c r="S98" s="18">
        <f t="shared" si="48"/>
        <v>0</v>
      </c>
      <c r="T98" s="19">
        <f t="shared" si="45"/>
        <v>0</v>
      </c>
      <c r="U98" s="20">
        <f t="shared" si="49"/>
        <v>350000</v>
      </c>
      <c r="V98" s="21">
        <f t="shared" si="50"/>
        <v>1</v>
      </c>
      <c r="W98" s="18">
        <f>+C98-S98</f>
        <v>350000</v>
      </c>
      <c r="X98" s="19">
        <f t="shared" si="46"/>
        <v>1</v>
      </c>
      <c r="Y98" s="37"/>
      <c r="Z98" s="37"/>
      <c r="AA98" s="37"/>
      <c r="AB98" s="37"/>
      <c r="AC98" s="37"/>
      <c r="AD98" s="37"/>
      <c r="AE98" s="37"/>
    </row>
    <row r="99" spans="1:32" s="37" customFormat="1">
      <c r="A99" s="88" t="s">
        <v>106</v>
      </c>
      <c r="B99" s="24" t="s">
        <v>107</v>
      </c>
      <c r="C99" s="9">
        <f t="shared" ref="C99:O99" si="53">SUM(C101:C103)</f>
        <v>4150000</v>
      </c>
      <c r="D99" s="9">
        <f>SUM(D101:D103)</f>
        <v>345833.33333333331</v>
      </c>
      <c r="E99" s="10">
        <f t="shared" si="53"/>
        <v>368486.44</v>
      </c>
      <c r="F99" s="10">
        <f t="shared" si="53"/>
        <v>167210.88</v>
      </c>
      <c r="G99" s="10">
        <f t="shared" si="53"/>
        <v>329107.14</v>
      </c>
      <c r="H99" s="10">
        <f t="shared" si="53"/>
        <v>16852.989999999998</v>
      </c>
      <c r="I99" s="10">
        <f t="shared" si="53"/>
        <v>103690.63</v>
      </c>
      <c r="J99" s="10">
        <f t="shared" si="53"/>
        <v>28147.95</v>
      </c>
      <c r="K99" s="10">
        <f t="shared" si="53"/>
        <v>178302.56</v>
      </c>
      <c r="L99" s="10">
        <f t="shared" si="53"/>
        <v>80676.36</v>
      </c>
      <c r="M99" s="10">
        <f>SUM(M101:M103)</f>
        <v>8509.4599999999991</v>
      </c>
      <c r="N99" s="10">
        <f>SUM(N101:N103)</f>
        <v>315158.68</v>
      </c>
      <c r="O99" s="10">
        <f t="shared" si="53"/>
        <v>7996.37</v>
      </c>
      <c r="P99" s="10">
        <f>SUM(P101:P103)</f>
        <v>239889.64</v>
      </c>
      <c r="Q99" s="10">
        <f>+Q100+Q101+Q102+Q103</f>
        <v>5070.2800000000007</v>
      </c>
      <c r="R99" s="10">
        <f>SUM(R100:R103)</f>
        <v>224067.97999999998</v>
      </c>
      <c r="S99" s="11">
        <f>+S101+S102+S103</f>
        <v>244428.92</v>
      </c>
      <c r="T99" s="12">
        <f t="shared" si="45"/>
        <v>5.8898534939759037E-2</v>
      </c>
      <c r="U99" s="13">
        <f t="shared" si="49"/>
        <v>3905571.08</v>
      </c>
      <c r="V99" s="14">
        <f t="shared" si="50"/>
        <v>0.94110146506024095</v>
      </c>
      <c r="W99" s="96">
        <f>+W101+W102+W103</f>
        <v>3905571.08</v>
      </c>
      <c r="X99" s="97">
        <f t="shared" si="46"/>
        <v>0.94110146506024095</v>
      </c>
    </row>
    <row r="100" spans="1:32" s="37" customFormat="1">
      <c r="A100" s="163" t="s">
        <v>288</v>
      </c>
      <c r="B100" s="164" t="s">
        <v>289</v>
      </c>
      <c r="C100" s="173">
        <v>30000</v>
      </c>
      <c r="D100" s="17">
        <f t="shared" ref="D100" si="54">+C100/12</f>
        <v>2500</v>
      </c>
      <c r="E100" s="17">
        <v>39199.980000000003</v>
      </c>
      <c r="F100" s="17">
        <v>150775.96</v>
      </c>
      <c r="G100" s="17">
        <v>51849.2</v>
      </c>
      <c r="H100" s="17"/>
      <c r="I100" s="17">
        <v>87000.03</v>
      </c>
      <c r="J100" s="17"/>
      <c r="K100" s="17">
        <v>142005.1</v>
      </c>
      <c r="L100" s="17">
        <v>31594.5</v>
      </c>
      <c r="M100" s="17"/>
      <c r="N100" s="17"/>
      <c r="O100" s="17"/>
      <c r="P100" s="83">
        <v>0</v>
      </c>
      <c r="Q100" s="83">
        <v>531</v>
      </c>
      <c r="R100" s="83">
        <v>2604.62</v>
      </c>
      <c r="S100" s="18">
        <f t="shared" si="48"/>
        <v>531</v>
      </c>
      <c r="T100" s="19">
        <f t="shared" si="45"/>
        <v>1.77E-2</v>
      </c>
      <c r="U100" s="20">
        <f t="shared" si="49"/>
        <v>29469</v>
      </c>
      <c r="V100" s="21">
        <f t="shared" si="50"/>
        <v>0.98229999999999995</v>
      </c>
      <c r="W100" s="18">
        <f>+C100-S100</f>
        <v>29469</v>
      </c>
      <c r="X100" s="19">
        <f t="shared" si="46"/>
        <v>0.98229999999999995</v>
      </c>
    </row>
    <row r="101" spans="1:32" s="3" customFormat="1">
      <c r="A101" s="163" t="s">
        <v>223</v>
      </c>
      <c r="B101" s="164" t="s">
        <v>108</v>
      </c>
      <c r="C101" s="173">
        <f>3200000-50000</f>
        <v>3150000</v>
      </c>
      <c r="D101" s="17">
        <f t="shared" si="47"/>
        <v>262500</v>
      </c>
      <c r="E101" s="17">
        <v>39199.980000000003</v>
      </c>
      <c r="F101" s="17">
        <v>150775.96</v>
      </c>
      <c r="G101" s="17">
        <v>51849.2</v>
      </c>
      <c r="H101" s="17"/>
      <c r="I101" s="17">
        <v>87000.03</v>
      </c>
      <c r="J101" s="17"/>
      <c r="K101" s="17">
        <v>142005.1</v>
      </c>
      <c r="L101" s="17">
        <v>31594.5</v>
      </c>
      <c r="M101" s="17"/>
      <c r="N101" s="17"/>
      <c r="O101" s="17"/>
      <c r="P101" s="83">
        <v>33394</v>
      </c>
      <c r="Q101" s="83">
        <v>0</v>
      </c>
      <c r="R101" s="83">
        <v>1063</v>
      </c>
      <c r="S101" s="18">
        <f t="shared" si="48"/>
        <v>33394</v>
      </c>
      <c r="T101" s="19">
        <f t="shared" si="45"/>
        <v>1.0601269841269842E-2</v>
      </c>
      <c r="U101" s="20">
        <f t="shared" si="49"/>
        <v>3116606</v>
      </c>
      <c r="V101" s="21">
        <f t="shared" si="50"/>
        <v>0.98939873015873014</v>
      </c>
      <c r="W101" s="18">
        <f>+C101-S101</f>
        <v>3116606</v>
      </c>
      <c r="X101" s="19">
        <f t="shared" si="46"/>
        <v>0.98939873015873014</v>
      </c>
      <c r="AF101" s="4"/>
    </row>
    <row r="102" spans="1:32" s="3" customFormat="1">
      <c r="A102" s="163" t="s">
        <v>224</v>
      </c>
      <c r="B102" s="164" t="s">
        <v>225</v>
      </c>
      <c r="C102" s="173">
        <v>100000</v>
      </c>
      <c r="D102" s="17">
        <f t="shared" si="47"/>
        <v>8333.3333333333339</v>
      </c>
      <c r="E102" s="17"/>
      <c r="F102" s="17">
        <v>1404.2</v>
      </c>
      <c r="G102" s="17">
        <v>4542.7</v>
      </c>
      <c r="H102" s="17">
        <v>3000</v>
      </c>
      <c r="I102" s="17"/>
      <c r="J102" s="17">
        <v>25635.5</v>
      </c>
      <c r="K102" s="17">
        <v>9817.6</v>
      </c>
      <c r="L102" s="17">
        <v>1463.5</v>
      </c>
      <c r="M102" s="17">
        <v>1645</v>
      </c>
      <c r="N102" s="17">
        <f>2250+449.98</f>
        <v>2699.98</v>
      </c>
      <c r="O102" s="17">
        <v>3295</v>
      </c>
      <c r="P102" s="83">
        <v>0</v>
      </c>
      <c r="Q102" s="83">
        <v>1121</v>
      </c>
      <c r="R102" s="83">
        <v>1180</v>
      </c>
      <c r="S102" s="18">
        <f t="shared" si="48"/>
        <v>1121</v>
      </c>
      <c r="T102" s="19">
        <f t="shared" si="45"/>
        <v>1.1209999999999999E-2</v>
      </c>
      <c r="U102" s="20">
        <f t="shared" si="49"/>
        <v>98879</v>
      </c>
      <c r="V102" s="21">
        <f t="shared" si="50"/>
        <v>0.98878999999999995</v>
      </c>
      <c r="W102" s="18">
        <f>+C102-S102</f>
        <v>98879</v>
      </c>
      <c r="X102" s="19">
        <f t="shared" si="46"/>
        <v>0.98878999999999995</v>
      </c>
      <c r="AF102" s="4"/>
    </row>
    <row r="103" spans="1:32" s="3" customFormat="1">
      <c r="A103" s="163" t="s">
        <v>226</v>
      </c>
      <c r="B103" s="164" t="s">
        <v>109</v>
      </c>
      <c r="C103" s="173">
        <v>900000</v>
      </c>
      <c r="D103" s="17">
        <f t="shared" si="47"/>
        <v>75000</v>
      </c>
      <c r="E103" s="17">
        <v>329286.46000000002</v>
      </c>
      <c r="F103" s="17">
        <v>15030.72</v>
      </c>
      <c r="G103" s="17">
        <v>272715.24</v>
      </c>
      <c r="H103" s="17">
        <v>13852.99</v>
      </c>
      <c r="I103" s="17">
        <v>16690.599999999999</v>
      </c>
      <c r="J103" s="17">
        <v>2512.4499999999998</v>
      </c>
      <c r="K103" s="17">
        <v>26479.86</v>
      </c>
      <c r="L103" s="17">
        <v>47618.36</v>
      </c>
      <c r="M103" s="17">
        <v>6864.46</v>
      </c>
      <c r="N103" s="17">
        <v>312458.7</v>
      </c>
      <c r="O103" s="17">
        <v>4701.37</v>
      </c>
      <c r="P103" s="83">
        <v>206495.64</v>
      </c>
      <c r="Q103" s="83">
        <v>3418.28</v>
      </c>
      <c r="R103" s="83">
        <v>219220.36</v>
      </c>
      <c r="S103" s="18">
        <f t="shared" si="48"/>
        <v>209913.92</v>
      </c>
      <c r="T103" s="19">
        <f t="shared" si="45"/>
        <v>0.23323768888888891</v>
      </c>
      <c r="U103" s="20">
        <f t="shared" si="49"/>
        <v>690086.08</v>
      </c>
      <c r="V103" s="21">
        <f t="shared" si="50"/>
        <v>0.76676231111111104</v>
      </c>
      <c r="W103" s="18">
        <f>+C103-S103</f>
        <v>690086.08</v>
      </c>
      <c r="X103" s="19">
        <f t="shared" si="46"/>
        <v>0.76676231111111104</v>
      </c>
      <c r="AF103" s="4"/>
    </row>
    <row r="104" spans="1:32" s="37" customFormat="1">
      <c r="A104" s="88" t="s">
        <v>110</v>
      </c>
      <c r="B104" s="24" t="s">
        <v>111</v>
      </c>
      <c r="C104" s="9">
        <f t="shared" ref="C104:O104" si="55">SUM(C105:C113)</f>
        <v>2033000</v>
      </c>
      <c r="D104" s="9">
        <f>SUM(D105:D113)</f>
        <v>169416.66666666666</v>
      </c>
      <c r="E104" s="10">
        <f t="shared" si="55"/>
        <v>69814.010000000009</v>
      </c>
      <c r="F104" s="10">
        <f t="shared" si="55"/>
        <v>180181.66</v>
      </c>
      <c r="G104" s="10">
        <f t="shared" si="55"/>
        <v>186695.26</v>
      </c>
      <c r="H104" s="10">
        <f t="shared" si="55"/>
        <v>131241.49</v>
      </c>
      <c r="I104" s="10">
        <f t="shared" si="55"/>
        <v>1634773.37</v>
      </c>
      <c r="J104" s="10">
        <f t="shared" si="55"/>
        <v>348201.32</v>
      </c>
      <c r="K104" s="10">
        <f t="shared" si="55"/>
        <v>293153.40000000002</v>
      </c>
      <c r="L104" s="10">
        <f t="shared" si="55"/>
        <v>530456.84</v>
      </c>
      <c r="M104" s="10">
        <f>SUM(M105:M113)</f>
        <v>1606615.92</v>
      </c>
      <c r="N104" s="10">
        <f>SUM(N105:N113)</f>
        <v>2045898.32</v>
      </c>
      <c r="O104" s="10">
        <f t="shared" si="55"/>
        <v>1612960.58</v>
      </c>
      <c r="P104" s="10">
        <f>SUM(P105:P113)</f>
        <v>173763.25</v>
      </c>
      <c r="Q104" s="10">
        <f>+Q105+Q106+Q107+Q108+Q109+Q113</f>
        <v>82988.469999999987</v>
      </c>
      <c r="R104" s="10">
        <f>SUM(R105:R113)</f>
        <v>1125298.8</v>
      </c>
      <c r="S104" s="11">
        <f>SUM(S105:S113)</f>
        <v>256751.72</v>
      </c>
      <c r="T104" s="12">
        <f t="shared" si="45"/>
        <v>0.12629204131824889</v>
      </c>
      <c r="U104" s="13">
        <f t="shared" si="49"/>
        <v>1776248.28</v>
      </c>
      <c r="V104" s="14">
        <f t="shared" si="50"/>
        <v>0.87370795868175111</v>
      </c>
      <c r="W104" s="96">
        <f>SUM(W105:W113)</f>
        <v>1776248.2800000003</v>
      </c>
      <c r="X104" s="97">
        <f t="shared" si="46"/>
        <v>0.87370795868175122</v>
      </c>
    </row>
    <row r="105" spans="1:32" s="3" customFormat="1">
      <c r="A105" s="163" t="s">
        <v>227</v>
      </c>
      <c r="B105" s="164" t="s">
        <v>112</v>
      </c>
      <c r="C105" s="175">
        <f>80000+100000</f>
        <v>180000</v>
      </c>
      <c r="D105" s="17">
        <f t="shared" si="47"/>
        <v>15000</v>
      </c>
      <c r="E105" s="17">
        <v>89.99</v>
      </c>
      <c r="F105" s="17">
        <v>520</v>
      </c>
      <c r="G105" s="17"/>
      <c r="H105" s="17">
        <v>1202</v>
      </c>
      <c r="I105" s="17">
        <v>412152.72</v>
      </c>
      <c r="J105" s="17"/>
      <c r="K105" s="17"/>
      <c r="L105" s="17">
        <v>52270.01</v>
      </c>
      <c r="M105" s="17"/>
      <c r="N105" s="17">
        <v>842369.37</v>
      </c>
      <c r="O105" s="17"/>
      <c r="P105" s="83">
        <v>115823.55</v>
      </c>
      <c r="Q105" s="83">
        <v>0</v>
      </c>
      <c r="R105" s="83">
        <v>645.66999999999996</v>
      </c>
      <c r="S105" s="18">
        <f t="shared" si="48"/>
        <v>115823.55</v>
      </c>
      <c r="T105" s="19">
        <f t="shared" si="45"/>
        <v>0.64346416666666673</v>
      </c>
      <c r="U105" s="20">
        <f t="shared" si="49"/>
        <v>64176.45</v>
      </c>
      <c r="V105" s="21">
        <f t="shared" si="50"/>
        <v>0.35653583333333333</v>
      </c>
      <c r="W105" s="18">
        <f t="shared" ref="W105:W113" si="56">+C105-S105</f>
        <v>64176.45</v>
      </c>
      <c r="X105" s="19">
        <f t="shared" si="46"/>
        <v>0.35653583333333333</v>
      </c>
      <c r="AF105" s="4"/>
    </row>
    <row r="106" spans="1:32" s="3" customFormat="1">
      <c r="A106" s="163" t="s">
        <v>228</v>
      </c>
      <c r="B106" s="164" t="s">
        <v>113</v>
      </c>
      <c r="C106" s="175">
        <v>35000</v>
      </c>
      <c r="D106" s="17">
        <f t="shared" si="47"/>
        <v>2916.6666666666665</v>
      </c>
      <c r="E106" s="17"/>
      <c r="F106" s="17">
        <f>6395.6+66864.7</f>
        <v>73260.3</v>
      </c>
      <c r="G106" s="17">
        <v>6844</v>
      </c>
      <c r="H106" s="17">
        <f>397.99+8940.06+34964.7</f>
        <v>44302.75</v>
      </c>
      <c r="I106" s="17">
        <v>41404.03</v>
      </c>
      <c r="J106" s="17">
        <v>24190</v>
      </c>
      <c r="K106" s="17"/>
      <c r="L106" s="17">
        <v>62628.91</v>
      </c>
      <c r="M106" s="17"/>
      <c r="N106" s="17">
        <v>9999.91</v>
      </c>
      <c r="O106" s="17"/>
      <c r="P106" s="83">
        <v>979.82</v>
      </c>
      <c r="Q106" s="83">
        <v>0</v>
      </c>
      <c r="R106" s="83">
        <v>0</v>
      </c>
      <c r="S106" s="18">
        <f t="shared" si="48"/>
        <v>979.82</v>
      </c>
      <c r="T106" s="19">
        <f t="shared" si="45"/>
        <v>2.7994857142857144E-2</v>
      </c>
      <c r="U106" s="20">
        <f t="shared" si="49"/>
        <v>34020.18</v>
      </c>
      <c r="V106" s="21">
        <f t="shared" si="50"/>
        <v>0.9720051428571429</v>
      </c>
      <c r="W106" s="18">
        <f t="shared" si="56"/>
        <v>34020.18</v>
      </c>
      <c r="X106" s="19">
        <f t="shared" si="46"/>
        <v>0.9720051428571429</v>
      </c>
      <c r="AF106" s="4"/>
    </row>
    <row r="107" spans="1:32" s="3" customFormat="1">
      <c r="A107" s="163" t="s">
        <v>229</v>
      </c>
      <c r="B107" s="164" t="s">
        <v>114</v>
      </c>
      <c r="C107" s="175">
        <v>150000</v>
      </c>
      <c r="D107" s="17">
        <f t="shared" si="47"/>
        <v>12500</v>
      </c>
      <c r="E107" s="17"/>
      <c r="F107" s="17"/>
      <c r="G107" s="17"/>
      <c r="H107" s="17">
        <v>2250.3000000000002</v>
      </c>
      <c r="I107" s="17"/>
      <c r="J107" s="17"/>
      <c r="K107" s="17"/>
      <c r="L107" s="17">
        <v>2085.02</v>
      </c>
      <c r="M107" s="17"/>
      <c r="N107" s="17">
        <v>147446.66</v>
      </c>
      <c r="O107" s="17"/>
      <c r="P107" s="83">
        <v>0</v>
      </c>
      <c r="Q107" s="83">
        <v>0</v>
      </c>
      <c r="R107" s="83">
        <v>0</v>
      </c>
      <c r="S107" s="18">
        <f t="shared" si="48"/>
        <v>0</v>
      </c>
      <c r="T107" s="19">
        <f t="shared" si="45"/>
        <v>0</v>
      </c>
      <c r="U107" s="20">
        <f t="shared" si="49"/>
        <v>150000</v>
      </c>
      <c r="V107" s="21">
        <f t="shared" si="50"/>
        <v>1</v>
      </c>
      <c r="W107" s="18">
        <f t="shared" si="56"/>
        <v>150000</v>
      </c>
      <c r="X107" s="19">
        <f t="shared" si="46"/>
        <v>1</v>
      </c>
      <c r="AF107" s="4"/>
    </row>
    <row r="108" spans="1:32" s="3" customFormat="1">
      <c r="A108" s="163" t="s">
        <v>230</v>
      </c>
      <c r="B108" s="164" t="s">
        <v>115</v>
      </c>
      <c r="C108" s="175">
        <v>18000</v>
      </c>
      <c r="D108" s="17">
        <f t="shared" si="47"/>
        <v>1500</v>
      </c>
      <c r="E108" s="17"/>
      <c r="F108" s="17"/>
      <c r="G108" s="17">
        <v>28320</v>
      </c>
      <c r="H108" s="17"/>
      <c r="I108" s="17"/>
      <c r="J108" s="17"/>
      <c r="K108" s="17">
        <v>9440</v>
      </c>
      <c r="L108" s="17"/>
      <c r="M108" s="17"/>
      <c r="N108" s="17">
        <v>3835</v>
      </c>
      <c r="O108" s="17"/>
      <c r="P108" s="83">
        <v>0</v>
      </c>
      <c r="Q108" s="83">
        <v>0</v>
      </c>
      <c r="R108" s="83">
        <v>0</v>
      </c>
      <c r="S108" s="18">
        <f t="shared" si="48"/>
        <v>0</v>
      </c>
      <c r="T108" s="19">
        <f t="shared" si="45"/>
        <v>0</v>
      </c>
      <c r="U108" s="20">
        <f t="shared" si="49"/>
        <v>18000</v>
      </c>
      <c r="V108" s="21">
        <f t="shared" si="50"/>
        <v>1</v>
      </c>
      <c r="W108" s="18">
        <f t="shared" si="56"/>
        <v>18000</v>
      </c>
      <c r="X108" s="19">
        <f t="shared" si="46"/>
        <v>1</v>
      </c>
    </row>
    <row r="109" spans="1:32" s="3" customFormat="1">
      <c r="A109" s="163" t="s">
        <v>231</v>
      </c>
      <c r="B109" s="164" t="s">
        <v>116</v>
      </c>
      <c r="C109" s="175">
        <v>1500000</v>
      </c>
      <c r="D109" s="17">
        <f t="shared" si="47"/>
        <v>125000</v>
      </c>
      <c r="E109" s="17">
        <v>34862.01</v>
      </c>
      <c r="F109" s="17">
        <v>53200.68</v>
      </c>
      <c r="G109" s="17">
        <v>74715.63</v>
      </c>
      <c r="H109" s="17">
        <v>41743.22</v>
      </c>
      <c r="I109" s="17">
        <v>555183.31000000006</v>
      </c>
      <c r="J109" s="17">
        <v>162005.66</v>
      </c>
      <c r="K109" s="17">
        <v>141856.70000000001</v>
      </c>
      <c r="L109" s="17">
        <v>204040.35</v>
      </c>
      <c r="M109" s="17">
        <v>803307.96</v>
      </c>
      <c r="N109" s="17">
        <v>503148.69</v>
      </c>
      <c r="O109" s="17">
        <v>782480.29</v>
      </c>
      <c r="P109" s="83">
        <f>51026.67+1803.21</f>
        <v>52829.88</v>
      </c>
      <c r="Q109" s="83">
        <f>80534.2+95.01+2080.36</f>
        <v>82709.569999999992</v>
      </c>
      <c r="R109" s="83">
        <v>1124006.1100000001</v>
      </c>
      <c r="S109" s="18">
        <f t="shared" si="48"/>
        <v>135539.44999999998</v>
      </c>
      <c r="T109" s="19">
        <f t="shared" si="45"/>
        <v>9.0359633333333328E-2</v>
      </c>
      <c r="U109" s="20">
        <f t="shared" si="49"/>
        <v>1364460.55</v>
      </c>
      <c r="V109" s="21">
        <f t="shared" si="50"/>
        <v>0.9096403666666667</v>
      </c>
      <c r="W109" s="18">
        <f t="shared" si="56"/>
        <v>1364460.55</v>
      </c>
      <c r="X109" s="19">
        <f t="shared" si="46"/>
        <v>0.9096403666666667</v>
      </c>
    </row>
    <row r="110" spans="1:32" s="3" customFormat="1" hidden="1">
      <c r="A110" s="163" t="s">
        <v>117</v>
      </c>
      <c r="B110" s="164" t="s">
        <v>118</v>
      </c>
      <c r="C110" s="175">
        <v>0</v>
      </c>
      <c r="D110" s="17">
        <f t="shared" si="47"/>
        <v>0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83"/>
      <c r="Q110" s="83"/>
      <c r="R110" s="83">
        <v>0</v>
      </c>
      <c r="S110" s="18">
        <f t="shared" si="48"/>
        <v>0</v>
      </c>
      <c r="T110" s="19" t="e">
        <f t="shared" si="45"/>
        <v>#DIV/0!</v>
      </c>
      <c r="U110" s="20">
        <f t="shared" si="49"/>
        <v>0</v>
      </c>
      <c r="V110" s="21" t="e">
        <f t="shared" si="50"/>
        <v>#DIV/0!</v>
      </c>
      <c r="W110" s="18">
        <f t="shared" si="56"/>
        <v>0</v>
      </c>
      <c r="X110" s="19" t="e">
        <f t="shared" si="46"/>
        <v>#DIV/0!</v>
      </c>
    </row>
    <row r="111" spans="1:32" s="3" customFormat="1" hidden="1">
      <c r="A111" s="163" t="s">
        <v>119</v>
      </c>
      <c r="B111" s="164" t="s">
        <v>120</v>
      </c>
      <c r="C111" s="175">
        <v>0</v>
      </c>
      <c r="D111" s="17">
        <f t="shared" si="47"/>
        <v>0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83"/>
      <c r="Q111" s="83"/>
      <c r="R111" s="83">
        <v>0</v>
      </c>
      <c r="S111" s="18">
        <f t="shared" si="48"/>
        <v>0</v>
      </c>
      <c r="T111" s="19" t="e">
        <f t="shared" si="45"/>
        <v>#DIV/0!</v>
      </c>
      <c r="U111" s="20">
        <f t="shared" si="49"/>
        <v>0</v>
      </c>
      <c r="V111" s="21" t="e">
        <f t="shared" si="50"/>
        <v>#DIV/0!</v>
      </c>
      <c r="W111" s="18">
        <f t="shared" si="56"/>
        <v>0</v>
      </c>
      <c r="X111" s="19" t="e">
        <f t="shared" si="46"/>
        <v>#DIV/0!</v>
      </c>
    </row>
    <row r="112" spans="1:32" s="3" customFormat="1">
      <c r="A112" s="163" t="s">
        <v>303</v>
      </c>
      <c r="B112" s="164" t="s">
        <v>304</v>
      </c>
      <c r="C112" s="175">
        <v>50000</v>
      </c>
      <c r="D112" s="17">
        <f t="shared" ref="D112" si="57">+C112/12</f>
        <v>4166.666666666667</v>
      </c>
      <c r="E112" s="17">
        <v>34862.01</v>
      </c>
      <c r="F112" s="17">
        <v>53200.68</v>
      </c>
      <c r="G112" s="17">
        <v>74715.63</v>
      </c>
      <c r="H112" s="17">
        <v>41743.22</v>
      </c>
      <c r="I112" s="17">
        <v>555183.31000000006</v>
      </c>
      <c r="J112" s="17">
        <v>162005.66</v>
      </c>
      <c r="K112" s="17">
        <v>141856.70000000001</v>
      </c>
      <c r="L112" s="17">
        <v>204040.35</v>
      </c>
      <c r="M112" s="17">
        <v>803307.96</v>
      </c>
      <c r="N112" s="17">
        <v>503148.69</v>
      </c>
      <c r="O112" s="17">
        <v>782480.29</v>
      </c>
      <c r="P112" s="83">
        <v>0</v>
      </c>
      <c r="Q112" s="83">
        <v>0</v>
      </c>
      <c r="R112" s="83">
        <v>647.02</v>
      </c>
      <c r="S112" s="18">
        <f t="shared" ref="S112" si="58">+P112+Q112</f>
        <v>0</v>
      </c>
      <c r="T112" s="19">
        <f t="shared" ref="T112" si="59">+S112/C112</f>
        <v>0</v>
      </c>
      <c r="U112" s="20">
        <f t="shared" ref="U112" si="60">+C112-S112</f>
        <v>50000</v>
      </c>
      <c r="V112" s="21">
        <f t="shared" ref="V112" si="61">+U112/C112</f>
        <v>1</v>
      </c>
      <c r="W112" s="18">
        <f t="shared" ref="W112" si="62">+C112-S112</f>
        <v>50000</v>
      </c>
      <c r="X112" s="19">
        <f t="shared" ref="X112" si="63">+W112/C112</f>
        <v>1</v>
      </c>
    </row>
    <row r="113" spans="1:32" s="3" customFormat="1">
      <c r="A113" s="163" t="s">
        <v>232</v>
      </c>
      <c r="B113" s="164" t="s">
        <v>121</v>
      </c>
      <c r="C113" s="175">
        <v>100000</v>
      </c>
      <c r="D113" s="17">
        <f t="shared" si="47"/>
        <v>8333.3333333333339</v>
      </c>
      <c r="E113" s="17"/>
      <c r="F113" s="17"/>
      <c r="G113" s="17">
        <v>2100</v>
      </c>
      <c r="H113" s="17"/>
      <c r="I113" s="17">
        <v>70850</v>
      </c>
      <c r="J113" s="17"/>
      <c r="K113" s="17"/>
      <c r="L113" s="17">
        <f>613.2+4779</f>
        <v>5392.2</v>
      </c>
      <c r="M113" s="17"/>
      <c r="N113" s="17">
        <v>35950</v>
      </c>
      <c r="O113" s="17">
        <v>48000</v>
      </c>
      <c r="P113" s="83">
        <v>4130</v>
      </c>
      <c r="Q113" s="83">
        <v>278.89999999999998</v>
      </c>
      <c r="R113" s="83">
        <v>0</v>
      </c>
      <c r="S113" s="18">
        <f t="shared" si="48"/>
        <v>4408.8999999999996</v>
      </c>
      <c r="T113" s="19">
        <f t="shared" si="45"/>
        <v>4.4088999999999996E-2</v>
      </c>
      <c r="U113" s="20">
        <f t="shared" si="49"/>
        <v>95591.1</v>
      </c>
      <c r="V113" s="21">
        <f t="shared" si="50"/>
        <v>0.95591100000000007</v>
      </c>
      <c r="W113" s="18">
        <f t="shared" si="56"/>
        <v>95591.1</v>
      </c>
      <c r="X113" s="19">
        <f t="shared" si="46"/>
        <v>0.95591100000000007</v>
      </c>
    </row>
    <row r="114" spans="1:32" s="3" customFormat="1" hidden="1">
      <c r="A114" s="92" t="s">
        <v>122</v>
      </c>
      <c r="B114" s="15" t="s">
        <v>123</v>
      </c>
      <c r="C114" s="41">
        <v>0</v>
      </c>
      <c r="D114" s="17">
        <v>0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26"/>
      <c r="T114" s="26"/>
      <c r="U114" s="41">
        <v>0</v>
      </c>
      <c r="V114" s="41"/>
      <c r="W114" s="26"/>
      <c r="X114" s="26"/>
    </row>
    <row r="115" spans="1:32" s="37" customFormat="1">
      <c r="A115" s="88" t="s">
        <v>124</v>
      </c>
      <c r="B115" s="24" t="s">
        <v>125</v>
      </c>
      <c r="C115" s="9">
        <f t="shared" ref="C115:R115" si="64">SUM(C116:C126)</f>
        <v>36182000</v>
      </c>
      <c r="D115" s="9">
        <f t="shared" si="64"/>
        <v>3015166.666666667</v>
      </c>
      <c r="E115" s="10">
        <f t="shared" si="64"/>
        <v>3710521.47</v>
      </c>
      <c r="F115" s="10">
        <f t="shared" si="64"/>
        <v>2503005</v>
      </c>
      <c r="G115" s="10">
        <f t="shared" si="64"/>
        <v>3113172.1500000004</v>
      </c>
      <c r="H115" s="10">
        <f t="shared" si="64"/>
        <v>3181706.6900000004</v>
      </c>
      <c r="I115" s="10">
        <f t="shared" si="64"/>
        <v>4076066.84</v>
      </c>
      <c r="J115" s="10">
        <f t="shared" si="64"/>
        <v>2941358.8200000003</v>
      </c>
      <c r="K115" s="10">
        <f t="shared" si="64"/>
        <v>5189816.0900000008</v>
      </c>
      <c r="L115" s="10">
        <f t="shared" si="64"/>
        <v>4305803.0200000005</v>
      </c>
      <c r="M115" s="10">
        <f t="shared" si="64"/>
        <v>1518101.39</v>
      </c>
      <c r="N115" s="10">
        <f t="shared" si="64"/>
        <v>4224946.6000000006</v>
      </c>
      <c r="O115" s="10">
        <f t="shared" si="64"/>
        <v>2754687.01</v>
      </c>
      <c r="P115" s="10">
        <f t="shared" si="64"/>
        <v>1807352.5199999998</v>
      </c>
      <c r="Q115" s="10">
        <f t="shared" si="64"/>
        <v>634778.56000000006</v>
      </c>
      <c r="R115" s="10">
        <f t="shared" si="64"/>
        <v>910954.94</v>
      </c>
      <c r="S115" s="11">
        <f>+S116+S117+S118+S120+S122+S126</f>
        <v>2421726.6199999996</v>
      </c>
      <c r="T115" s="12">
        <f t="shared" ref="T115:T134" si="65">+S115/C115</f>
        <v>6.6931806423083287E-2</v>
      </c>
      <c r="U115" s="13">
        <f t="shared" ref="U115:U134" si="66">+C115-S115</f>
        <v>33760273.380000003</v>
      </c>
      <c r="V115" s="14">
        <f t="shared" ref="V115:V134" si="67">+U115/C115</f>
        <v>0.93306819357691673</v>
      </c>
      <c r="W115" s="96">
        <f>+W116+W117+W118+W120+W122+W126</f>
        <v>33178273.379999999</v>
      </c>
      <c r="X115" s="97">
        <f t="shared" ref="X115:X134" si="68">+W115/C115</f>
        <v>0.9169828472721242</v>
      </c>
    </row>
    <row r="116" spans="1:32" s="3" customFormat="1">
      <c r="A116" s="168" t="s">
        <v>233</v>
      </c>
      <c r="B116" s="169" t="s">
        <v>126</v>
      </c>
      <c r="C116" s="173">
        <v>28000000</v>
      </c>
      <c r="D116" s="17">
        <f t="shared" ref="D116:D134" si="69">+C116/12</f>
        <v>2333333.3333333335</v>
      </c>
      <c r="E116" s="17">
        <f>2000+2724195.83</f>
        <v>2726195.83</v>
      </c>
      <c r="F116" s="17">
        <f>2000+1741600</f>
        <v>1743600</v>
      </c>
      <c r="G116" s="17">
        <f>2000+2169521.87</f>
        <v>2171521.87</v>
      </c>
      <c r="H116" s="17">
        <f>2000+2426646.88</f>
        <v>2428646.88</v>
      </c>
      <c r="I116" s="17">
        <f>2000+1595997.32+120296</f>
        <v>1718293.32</v>
      </c>
      <c r="J116" s="17">
        <f>2000+2067479.32</f>
        <v>2069479.32</v>
      </c>
      <c r="K116" s="17">
        <f>2000+4520485.43+121245.15</f>
        <v>4643730.58</v>
      </c>
      <c r="L116" s="17">
        <f>3237716.71+99756.39</f>
        <v>3337473.1</v>
      </c>
      <c r="M116" s="17">
        <v>1132305.74</v>
      </c>
      <c r="N116" s="17">
        <f>2244686.22+96660.4</f>
        <v>2341346.62</v>
      </c>
      <c r="O116" s="17">
        <f>1139770.04+7989.37</f>
        <v>1147759.4100000001</v>
      </c>
      <c r="P116" s="83">
        <v>1100185.21</v>
      </c>
      <c r="Q116" s="83">
        <v>206431.16</v>
      </c>
      <c r="R116" s="83">
        <v>284372.96000000002</v>
      </c>
      <c r="S116" s="18">
        <f t="shared" ref="S116:S124" si="70">+P116+Q116</f>
        <v>1306616.3699999999</v>
      </c>
      <c r="T116" s="19">
        <f t="shared" si="65"/>
        <v>4.6664870357142854E-2</v>
      </c>
      <c r="U116" s="20">
        <f t="shared" si="66"/>
        <v>26693383.629999999</v>
      </c>
      <c r="V116" s="21">
        <f t="shared" si="67"/>
        <v>0.95333512964285716</v>
      </c>
      <c r="W116" s="18">
        <f t="shared" ref="W116:W126" si="71">+C116-S116</f>
        <v>26693383.629999999</v>
      </c>
      <c r="X116" s="19">
        <f t="shared" si="68"/>
        <v>0.95333512964285716</v>
      </c>
    </row>
    <row r="117" spans="1:32" s="3" customFormat="1">
      <c r="A117" s="168" t="s">
        <v>234</v>
      </c>
      <c r="B117" s="169" t="s">
        <v>127</v>
      </c>
      <c r="C117" s="173">
        <v>5000000</v>
      </c>
      <c r="D117" s="17">
        <f t="shared" si="69"/>
        <v>416666.66666666669</v>
      </c>
      <c r="E117" s="17">
        <v>818844.79</v>
      </c>
      <c r="F117" s="17">
        <v>522000</v>
      </c>
      <c r="G117" s="17">
        <v>724069.2</v>
      </c>
      <c r="H117" s="17">
        <v>530058.6</v>
      </c>
      <c r="I117" s="17">
        <v>872946.65</v>
      </c>
      <c r="J117" s="17">
        <v>694249.15</v>
      </c>
      <c r="K117" s="17">
        <v>282960.78000000003</v>
      </c>
      <c r="L117" s="17">
        <v>559580.89</v>
      </c>
      <c r="M117" s="17">
        <v>270838.67</v>
      </c>
      <c r="N117" s="17">
        <v>926029.93</v>
      </c>
      <c r="O117" s="17">
        <v>466856.25</v>
      </c>
      <c r="P117" s="83">
        <v>567875.99</v>
      </c>
      <c r="Q117" s="83">
        <v>257788.95</v>
      </c>
      <c r="R117" s="83">
        <v>245293.7</v>
      </c>
      <c r="S117" s="18">
        <f t="shared" si="70"/>
        <v>825664.94</v>
      </c>
      <c r="T117" s="19">
        <f t="shared" si="65"/>
        <v>0.16513298799999998</v>
      </c>
      <c r="U117" s="20">
        <f t="shared" si="66"/>
        <v>4174335.06</v>
      </c>
      <c r="V117" s="21">
        <f t="shared" si="67"/>
        <v>0.83486701200000002</v>
      </c>
      <c r="W117" s="18">
        <f t="shared" si="71"/>
        <v>4174335.06</v>
      </c>
      <c r="X117" s="19">
        <f t="shared" si="68"/>
        <v>0.83486701200000002</v>
      </c>
    </row>
    <row r="118" spans="1:32" s="22" customFormat="1">
      <c r="A118" s="168" t="s">
        <v>235</v>
      </c>
      <c r="B118" s="169" t="s">
        <v>128</v>
      </c>
      <c r="C118" s="173">
        <v>700000</v>
      </c>
      <c r="D118" s="17">
        <f t="shared" si="69"/>
        <v>58333.333333333336</v>
      </c>
      <c r="E118" s="17">
        <v>100989.67</v>
      </c>
      <c r="F118" s="17">
        <v>70361.5</v>
      </c>
      <c r="G118" s="17">
        <v>105489</v>
      </c>
      <c r="H118" s="17">
        <v>147046.29999999999</v>
      </c>
      <c r="I118" s="17">
        <v>100441.3</v>
      </c>
      <c r="J118" s="17">
        <v>103743.6</v>
      </c>
      <c r="K118" s="17">
        <v>118715.2</v>
      </c>
      <c r="L118" s="17">
        <v>121562.62</v>
      </c>
      <c r="M118" s="17">
        <v>57080.2</v>
      </c>
      <c r="N118" s="17">
        <v>174726.23</v>
      </c>
      <c r="O118" s="17">
        <v>8992.9</v>
      </c>
      <c r="P118" s="83">
        <v>0</v>
      </c>
      <c r="Q118" s="83">
        <v>95658</v>
      </c>
      <c r="R118" s="83">
        <v>47352.5</v>
      </c>
      <c r="S118" s="18">
        <f t="shared" si="70"/>
        <v>95658</v>
      </c>
      <c r="T118" s="19">
        <f t="shared" si="65"/>
        <v>0.13665428571428573</v>
      </c>
      <c r="U118" s="20">
        <f t="shared" si="66"/>
        <v>604342</v>
      </c>
      <c r="V118" s="21">
        <f t="shared" si="67"/>
        <v>0.86334571428571427</v>
      </c>
      <c r="W118" s="18">
        <f t="shared" si="71"/>
        <v>604342</v>
      </c>
      <c r="X118" s="19">
        <f t="shared" si="68"/>
        <v>0.86334571428571427</v>
      </c>
      <c r="Y118" s="3"/>
      <c r="Z118" s="3"/>
      <c r="AA118" s="3"/>
      <c r="AB118" s="3"/>
      <c r="AC118" s="3"/>
      <c r="AD118" s="3"/>
      <c r="AE118" s="3"/>
      <c r="AF118" s="3"/>
    </row>
    <row r="119" spans="1:32" s="22" customFormat="1" hidden="1">
      <c r="A119" s="168" t="s">
        <v>129</v>
      </c>
      <c r="B119" s="169" t="s">
        <v>130</v>
      </c>
      <c r="C119" s="176"/>
      <c r="D119" s="17">
        <f t="shared" si="69"/>
        <v>0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83"/>
      <c r="Q119" s="83"/>
      <c r="R119" s="83">
        <v>0</v>
      </c>
      <c r="S119" s="18">
        <f t="shared" si="70"/>
        <v>0</v>
      </c>
      <c r="T119" s="19" t="e">
        <f t="shared" si="65"/>
        <v>#DIV/0!</v>
      </c>
      <c r="U119" s="20">
        <f t="shared" si="66"/>
        <v>0</v>
      </c>
      <c r="V119" s="21" t="e">
        <f t="shared" si="67"/>
        <v>#DIV/0!</v>
      </c>
      <c r="W119" s="18">
        <f t="shared" si="71"/>
        <v>0</v>
      </c>
      <c r="X119" s="19" t="e">
        <f t="shared" si="68"/>
        <v>#DIV/0!</v>
      </c>
      <c r="Y119" s="3"/>
      <c r="Z119" s="3"/>
      <c r="AA119" s="3"/>
      <c r="AB119" s="3"/>
      <c r="AC119" s="3"/>
      <c r="AD119" s="3"/>
      <c r="AE119" s="3"/>
      <c r="AF119" s="3"/>
    </row>
    <row r="120" spans="1:32" s="22" customFormat="1">
      <c r="A120" s="168" t="s">
        <v>236</v>
      </c>
      <c r="B120" s="169" t="s">
        <v>131</v>
      </c>
      <c r="C120" s="173">
        <v>1500000</v>
      </c>
      <c r="D120" s="17">
        <f t="shared" si="69"/>
        <v>125000</v>
      </c>
      <c r="E120" s="17">
        <f>54523.96+244.95</f>
        <v>54768.909999999996</v>
      </c>
      <c r="F120" s="17">
        <f>29736+105625.1</f>
        <v>135361.1</v>
      </c>
      <c r="G120" s="17">
        <f>2292.79+105704.29</f>
        <v>107997.07999999999</v>
      </c>
      <c r="H120" s="17">
        <v>54411.72</v>
      </c>
      <c r="I120" s="17">
        <f>885+166637.23</f>
        <v>167522.23000000001</v>
      </c>
      <c r="J120" s="17">
        <f>200+55834.83+7385.62</f>
        <v>63420.450000000004</v>
      </c>
      <c r="K120" s="17">
        <f>1380+102976.16</f>
        <v>104356.16</v>
      </c>
      <c r="L120" s="17">
        <v>177859.67</v>
      </c>
      <c r="M120" s="17">
        <f>56364.73+225</f>
        <v>56589.73</v>
      </c>
      <c r="N120" s="17">
        <v>163233.42000000001</v>
      </c>
      <c r="O120" s="17">
        <f>2353.05+55425.21</f>
        <v>57778.26</v>
      </c>
      <c r="P120" s="83">
        <v>57581.68</v>
      </c>
      <c r="Q120" s="83">
        <f>324.5+54823.43+3160</f>
        <v>58307.93</v>
      </c>
      <c r="R120" s="83">
        <v>276304.78999999998</v>
      </c>
      <c r="S120" s="18">
        <f t="shared" si="70"/>
        <v>115889.61</v>
      </c>
      <c r="T120" s="19">
        <f t="shared" si="65"/>
        <v>7.7259740000000007E-2</v>
      </c>
      <c r="U120" s="20">
        <f t="shared" si="66"/>
        <v>1384110.39</v>
      </c>
      <c r="V120" s="21">
        <f t="shared" si="67"/>
        <v>0.92274025999999998</v>
      </c>
      <c r="W120" s="18">
        <f t="shared" si="71"/>
        <v>1384110.39</v>
      </c>
      <c r="X120" s="19">
        <f t="shared" si="68"/>
        <v>0.92274025999999998</v>
      </c>
      <c r="Y120" s="3"/>
      <c r="Z120" s="3"/>
      <c r="AA120" s="3"/>
      <c r="AB120" s="3"/>
      <c r="AC120" s="3"/>
      <c r="AD120" s="3"/>
      <c r="AE120" s="3"/>
      <c r="AF120" s="3"/>
    </row>
    <row r="121" spans="1:32" s="22" customFormat="1" hidden="1">
      <c r="A121" s="177" t="s">
        <v>132</v>
      </c>
      <c r="B121" s="169" t="s">
        <v>133</v>
      </c>
      <c r="C121" s="176"/>
      <c r="D121" s="17">
        <f t="shared" si="69"/>
        <v>0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83"/>
      <c r="Q121" s="83"/>
      <c r="R121" s="83">
        <v>0</v>
      </c>
      <c r="S121" s="18">
        <f t="shared" si="70"/>
        <v>0</v>
      </c>
      <c r="T121" s="19" t="e">
        <f t="shared" si="65"/>
        <v>#DIV/0!</v>
      </c>
      <c r="U121" s="20">
        <f t="shared" si="66"/>
        <v>0</v>
      </c>
      <c r="V121" s="21" t="e">
        <f t="shared" si="67"/>
        <v>#DIV/0!</v>
      </c>
      <c r="W121" s="18">
        <f t="shared" si="71"/>
        <v>0</v>
      </c>
      <c r="X121" s="19" t="e">
        <f t="shared" si="68"/>
        <v>#DIV/0!</v>
      </c>
      <c r="Y121" s="3"/>
      <c r="Z121" s="3"/>
      <c r="AA121" s="3"/>
      <c r="AB121" s="3"/>
      <c r="AC121" s="3"/>
      <c r="AD121" s="3"/>
      <c r="AE121" s="3"/>
      <c r="AF121" s="3"/>
    </row>
    <row r="122" spans="1:32" s="22" customFormat="1">
      <c r="A122" s="177" t="s">
        <v>237</v>
      </c>
      <c r="B122" s="169" t="s">
        <v>134</v>
      </c>
      <c r="C122" s="173">
        <v>300000</v>
      </c>
      <c r="D122" s="17">
        <f t="shared" si="69"/>
        <v>25000</v>
      </c>
      <c r="E122" s="17"/>
      <c r="F122" s="17"/>
      <c r="G122" s="17">
        <v>420</v>
      </c>
      <c r="H122" s="17">
        <f>297+294.99</f>
        <v>591.99</v>
      </c>
      <c r="I122" s="17"/>
      <c r="J122" s="17">
        <v>10466.299999999999</v>
      </c>
      <c r="K122" s="17">
        <v>1075.07</v>
      </c>
      <c r="L122" s="17"/>
      <c r="M122" s="17">
        <v>765.05</v>
      </c>
      <c r="N122" s="17"/>
      <c r="O122" s="17">
        <v>205</v>
      </c>
      <c r="P122" s="83">
        <v>77897.7</v>
      </c>
      <c r="Q122" s="83">
        <v>0</v>
      </c>
      <c r="R122" s="83">
        <v>259.8</v>
      </c>
      <c r="S122" s="18">
        <f t="shared" si="70"/>
        <v>77897.7</v>
      </c>
      <c r="T122" s="19">
        <f t="shared" si="65"/>
        <v>0.25965899999999997</v>
      </c>
      <c r="U122" s="20">
        <f t="shared" si="66"/>
        <v>222102.3</v>
      </c>
      <c r="V122" s="21">
        <f t="shared" si="67"/>
        <v>0.74034099999999992</v>
      </c>
      <c r="W122" s="18">
        <f t="shared" si="71"/>
        <v>222102.3</v>
      </c>
      <c r="X122" s="19">
        <f t="shared" si="68"/>
        <v>0.74034099999999992</v>
      </c>
      <c r="Y122" s="3"/>
      <c r="Z122" s="3"/>
      <c r="AA122" s="3"/>
      <c r="AB122" s="3"/>
      <c r="AC122" s="3"/>
      <c r="AD122" s="3"/>
      <c r="AE122" s="3"/>
      <c r="AF122" s="3"/>
    </row>
    <row r="123" spans="1:32" s="22" customFormat="1" hidden="1">
      <c r="A123" s="177" t="s">
        <v>135</v>
      </c>
      <c r="B123" s="169" t="s">
        <v>136</v>
      </c>
      <c r="C123" s="176"/>
      <c r="D123" s="17">
        <f t="shared" si="69"/>
        <v>0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83"/>
      <c r="Q123" s="83"/>
      <c r="R123" s="83">
        <v>0</v>
      </c>
      <c r="S123" s="18">
        <f t="shared" si="70"/>
        <v>0</v>
      </c>
      <c r="T123" s="19" t="e">
        <f t="shared" si="65"/>
        <v>#DIV/0!</v>
      </c>
      <c r="U123" s="20">
        <f t="shared" si="66"/>
        <v>0</v>
      </c>
      <c r="V123" s="21" t="e">
        <f t="shared" si="67"/>
        <v>#DIV/0!</v>
      </c>
      <c r="W123" s="18">
        <f t="shared" si="71"/>
        <v>0</v>
      </c>
      <c r="X123" s="19" t="e">
        <f t="shared" si="68"/>
        <v>#DIV/0!</v>
      </c>
      <c r="Y123" s="3"/>
      <c r="Z123" s="3"/>
      <c r="AA123" s="3"/>
      <c r="AB123" s="3"/>
      <c r="AC123" s="3"/>
      <c r="AD123" s="3"/>
      <c r="AE123" s="3"/>
      <c r="AF123" s="3"/>
    </row>
    <row r="124" spans="1:32" s="22" customFormat="1">
      <c r="A124" s="177" t="s">
        <v>238</v>
      </c>
      <c r="B124" s="169" t="s">
        <v>137</v>
      </c>
      <c r="C124" s="173">
        <v>132000</v>
      </c>
      <c r="D124" s="17">
        <f t="shared" si="69"/>
        <v>11000</v>
      </c>
      <c r="E124" s="17">
        <v>269</v>
      </c>
      <c r="F124" s="17">
        <v>14600</v>
      </c>
      <c r="G124" s="17">
        <v>840</v>
      </c>
      <c r="H124" s="17">
        <f>750+134.95</f>
        <v>884.95</v>
      </c>
      <c r="I124" s="17">
        <v>1700</v>
      </c>
      <c r="J124" s="17"/>
      <c r="K124" s="17"/>
      <c r="L124" s="17"/>
      <c r="M124" s="17"/>
      <c r="N124" s="17">
        <v>290</v>
      </c>
      <c r="O124" s="17">
        <v>1000</v>
      </c>
      <c r="P124" s="83">
        <v>179.95</v>
      </c>
      <c r="Q124" s="83">
        <v>0</v>
      </c>
      <c r="R124" s="83">
        <v>0</v>
      </c>
      <c r="S124" s="18">
        <f t="shared" si="70"/>
        <v>179.95</v>
      </c>
      <c r="T124" s="19">
        <f t="shared" si="65"/>
        <v>1.3632575757575756E-3</v>
      </c>
      <c r="U124" s="20">
        <f t="shared" si="66"/>
        <v>131820.04999999999</v>
      </c>
      <c r="V124" s="21">
        <f t="shared" si="67"/>
        <v>0.99863674242424239</v>
      </c>
      <c r="W124" s="18">
        <f t="shared" si="71"/>
        <v>131820.04999999999</v>
      </c>
      <c r="X124" s="19">
        <f t="shared" si="68"/>
        <v>0.99863674242424239</v>
      </c>
      <c r="Y124" s="3"/>
      <c r="Z124" s="3"/>
      <c r="AA124" s="3"/>
      <c r="AB124" s="3"/>
      <c r="AC124" s="3"/>
      <c r="AD124" s="3"/>
      <c r="AE124" s="3"/>
      <c r="AF124" s="3"/>
    </row>
    <row r="125" spans="1:32" s="22" customFormat="1">
      <c r="A125" s="177" t="s">
        <v>239</v>
      </c>
      <c r="B125" s="169" t="s">
        <v>138</v>
      </c>
      <c r="C125" s="173">
        <f>550000-100000</f>
        <v>450000</v>
      </c>
      <c r="D125" s="17">
        <f t="shared" ref="D125:D126" si="72">+C125/12</f>
        <v>37500</v>
      </c>
      <c r="E125" s="17">
        <v>9453.27</v>
      </c>
      <c r="F125" s="17">
        <v>17082.400000000001</v>
      </c>
      <c r="G125" s="17">
        <v>2835</v>
      </c>
      <c r="H125" s="17">
        <v>20066.25</v>
      </c>
      <c r="I125" s="17">
        <v>1215163.3400000001</v>
      </c>
      <c r="J125" s="17"/>
      <c r="K125" s="17">
        <v>38978.300000000003</v>
      </c>
      <c r="L125" s="17">
        <v>109326.74</v>
      </c>
      <c r="M125" s="17">
        <v>522</v>
      </c>
      <c r="N125" s="17">
        <v>619320.4</v>
      </c>
      <c r="O125" s="17">
        <v>1072095.19</v>
      </c>
      <c r="P125" s="83">
        <f>3441.99+190</f>
        <v>3631.99</v>
      </c>
      <c r="Q125" s="83">
        <v>16592.52</v>
      </c>
      <c r="R125" s="83">
        <v>30110.83</v>
      </c>
      <c r="S125" s="18">
        <f>+P125+Q125</f>
        <v>20224.510000000002</v>
      </c>
      <c r="T125" s="19">
        <f t="shared" ref="T125" si="73">+S125/C125</f>
        <v>4.4943355555555557E-2</v>
      </c>
      <c r="U125" s="20">
        <f t="shared" ref="U125" si="74">+C125-S125</f>
        <v>429775.49</v>
      </c>
      <c r="V125" s="21">
        <f t="shared" ref="V125" si="75">+U125/C125</f>
        <v>0.95505664444444438</v>
      </c>
      <c r="W125" s="18">
        <f t="shared" ref="W125" si="76">+C125-S125</f>
        <v>429775.49</v>
      </c>
      <c r="X125" s="19">
        <f t="shared" ref="X125" si="77">+W125/C125</f>
        <v>0.95505664444444438</v>
      </c>
      <c r="Y125" s="3"/>
      <c r="Z125" s="3"/>
      <c r="AA125" s="3"/>
      <c r="AB125" s="3"/>
      <c r="AC125" s="3"/>
      <c r="AD125" s="3"/>
      <c r="AE125" s="3"/>
      <c r="AF125" s="3"/>
    </row>
    <row r="126" spans="1:32" s="22" customFormat="1">
      <c r="A126" s="177" t="s">
        <v>305</v>
      </c>
      <c r="B126" s="169" t="s">
        <v>306</v>
      </c>
      <c r="C126" s="173">
        <v>100000</v>
      </c>
      <c r="D126" s="17">
        <f t="shared" si="72"/>
        <v>8333.3333333333339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83">
        <v>0</v>
      </c>
      <c r="Q126" s="83">
        <v>0</v>
      </c>
      <c r="R126" s="83">
        <v>27260.36</v>
      </c>
      <c r="S126" s="18">
        <f>+P126+Q126</f>
        <v>0</v>
      </c>
      <c r="T126" s="19">
        <f t="shared" si="65"/>
        <v>0</v>
      </c>
      <c r="U126" s="20">
        <f t="shared" si="66"/>
        <v>100000</v>
      </c>
      <c r="V126" s="21">
        <f t="shared" si="67"/>
        <v>1</v>
      </c>
      <c r="W126" s="18">
        <f t="shared" si="71"/>
        <v>100000</v>
      </c>
      <c r="X126" s="19">
        <f t="shared" si="68"/>
        <v>1</v>
      </c>
      <c r="Y126" s="3"/>
      <c r="Z126" s="3"/>
      <c r="AA126" s="3"/>
      <c r="AB126" s="3"/>
      <c r="AC126" s="3"/>
      <c r="AD126" s="3"/>
      <c r="AE126" s="3"/>
      <c r="AF126" s="3"/>
    </row>
    <row r="127" spans="1:32" s="22" customFormat="1">
      <c r="A127" s="88" t="s">
        <v>139</v>
      </c>
      <c r="B127" s="24" t="s">
        <v>140</v>
      </c>
      <c r="C127" s="9">
        <f t="shared" ref="C127:O127" si="78">SUM(C128:C134)</f>
        <v>3220000</v>
      </c>
      <c r="D127" s="9">
        <f>SUM(D128:D134)</f>
        <v>268333.33333333337</v>
      </c>
      <c r="E127" s="10">
        <f t="shared" si="78"/>
        <v>911387.40999999992</v>
      </c>
      <c r="F127" s="10">
        <f t="shared" si="78"/>
        <v>1477836.26</v>
      </c>
      <c r="G127" s="10">
        <f t="shared" si="78"/>
        <v>82695.91</v>
      </c>
      <c r="H127" s="10">
        <f t="shared" si="78"/>
        <v>1089395.71</v>
      </c>
      <c r="I127" s="10">
        <f t="shared" si="78"/>
        <v>294506.26</v>
      </c>
      <c r="J127" s="10">
        <f t="shared" si="78"/>
        <v>589815.86</v>
      </c>
      <c r="K127" s="10">
        <f t="shared" si="78"/>
        <v>753144.47</v>
      </c>
      <c r="L127" s="10">
        <f t="shared" si="78"/>
        <v>3954506.95</v>
      </c>
      <c r="M127" s="10">
        <f>SUM(M128:M134)</f>
        <v>70889.210000000006</v>
      </c>
      <c r="N127" s="10">
        <f>SUM(N128:N134)</f>
        <v>1459342.1</v>
      </c>
      <c r="O127" s="10">
        <f t="shared" si="78"/>
        <v>384175.53</v>
      </c>
      <c r="P127" s="10">
        <f>SUM(P128:P134)</f>
        <v>253337.21</v>
      </c>
      <c r="Q127" s="10">
        <f>+Q128+Q129+Q131+Q132+Q134</f>
        <v>26639.199999999997</v>
      </c>
      <c r="R127" s="10">
        <f>+R128+R129+R130+R131+R132+R133+R134</f>
        <v>1062375.07</v>
      </c>
      <c r="S127" s="11">
        <f>+S128+S129+S131+S132+S134</f>
        <v>116242.63</v>
      </c>
      <c r="T127" s="12">
        <f t="shared" si="65"/>
        <v>3.6100195652173914E-2</v>
      </c>
      <c r="U127" s="13">
        <f t="shared" si="66"/>
        <v>3103757.37</v>
      </c>
      <c r="V127" s="14">
        <f t="shared" si="67"/>
        <v>0.96389980434782607</v>
      </c>
      <c r="W127" s="96">
        <f>+W128+W129+W131+W132+W134</f>
        <v>2603757.37</v>
      </c>
      <c r="X127" s="97">
        <f t="shared" si="68"/>
        <v>0.80862030124223605</v>
      </c>
      <c r="Y127" s="3"/>
      <c r="Z127" s="3"/>
      <c r="AA127" s="3"/>
      <c r="AB127" s="3"/>
      <c r="AC127" s="3"/>
      <c r="AD127" s="3"/>
      <c r="AE127" s="3"/>
      <c r="AF127" s="3"/>
    </row>
    <row r="128" spans="1:32" s="22" customFormat="1">
      <c r="A128" s="163" t="s">
        <v>240</v>
      </c>
      <c r="B128" s="164" t="s">
        <v>141</v>
      </c>
      <c r="C128" s="173">
        <v>800000</v>
      </c>
      <c r="D128" s="17">
        <f t="shared" si="69"/>
        <v>66666.666666666672</v>
      </c>
      <c r="E128" s="17">
        <v>1918.83</v>
      </c>
      <c r="F128" s="17">
        <v>241805.66</v>
      </c>
      <c r="G128" s="17">
        <v>2115.25</v>
      </c>
      <c r="H128" s="17">
        <v>669.95</v>
      </c>
      <c r="I128" s="17">
        <v>2433.64</v>
      </c>
      <c r="J128" s="17">
        <v>283</v>
      </c>
      <c r="K128" s="17">
        <v>117606.95</v>
      </c>
      <c r="L128" s="17">
        <v>7016.31</v>
      </c>
      <c r="M128" s="17">
        <v>3115.67</v>
      </c>
      <c r="N128" s="17">
        <v>520551.34</v>
      </c>
      <c r="O128" s="17">
        <v>3262.31</v>
      </c>
      <c r="P128" s="83">
        <v>566</v>
      </c>
      <c r="Q128" s="83">
        <v>2863.92</v>
      </c>
      <c r="R128" s="83">
        <v>482347.42</v>
      </c>
      <c r="S128" s="18">
        <f t="shared" ref="S128:S134" si="79">+P128+Q128</f>
        <v>3429.92</v>
      </c>
      <c r="T128" s="19">
        <f t="shared" si="65"/>
        <v>4.2874000000000002E-3</v>
      </c>
      <c r="U128" s="20">
        <f t="shared" si="66"/>
        <v>796570.08</v>
      </c>
      <c r="V128" s="21">
        <f t="shared" si="67"/>
        <v>0.99571259999999995</v>
      </c>
      <c r="W128" s="18">
        <f t="shared" ref="W128:W134" si="80">+C128-S128</f>
        <v>796570.08</v>
      </c>
      <c r="X128" s="19">
        <f t="shared" si="68"/>
        <v>0.99571259999999995</v>
      </c>
      <c r="Y128" s="3"/>
      <c r="Z128" s="3"/>
      <c r="AA128" s="3"/>
      <c r="AB128" s="3"/>
      <c r="AC128" s="3"/>
      <c r="AD128" s="3"/>
      <c r="AE128" s="3"/>
      <c r="AF128" s="3"/>
    </row>
    <row r="129" spans="1:32" s="22" customFormat="1">
      <c r="A129" s="163" t="s">
        <v>241</v>
      </c>
      <c r="B129" s="164" t="s">
        <v>142</v>
      </c>
      <c r="C129" s="173">
        <v>1570000</v>
      </c>
      <c r="D129" s="17">
        <f t="shared" si="69"/>
        <v>130833.33333333333</v>
      </c>
      <c r="E129" s="17">
        <v>113593.11</v>
      </c>
      <c r="F129" s="17">
        <v>347033.35</v>
      </c>
      <c r="G129" s="17">
        <v>16747.7</v>
      </c>
      <c r="H129" s="17">
        <v>250069.25</v>
      </c>
      <c r="I129" s="17">
        <v>19488.72</v>
      </c>
      <c r="J129" s="17">
        <v>7490.02</v>
      </c>
      <c r="K129" s="17">
        <v>184827.97</v>
      </c>
      <c r="L129" s="17">
        <v>961886.64</v>
      </c>
      <c r="M129" s="17">
        <v>21585.97</v>
      </c>
      <c r="N129" s="17">
        <v>254801.52</v>
      </c>
      <c r="O129" s="17">
        <v>30385.7</v>
      </c>
      <c r="P129" s="83">
        <v>17290.84</v>
      </c>
      <c r="Q129" s="83">
        <v>16325.65</v>
      </c>
      <c r="R129" s="83">
        <v>525252.27</v>
      </c>
      <c r="S129" s="18">
        <f t="shared" si="79"/>
        <v>33616.49</v>
      </c>
      <c r="T129" s="19">
        <f t="shared" si="65"/>
        <v>2.1411777070063694E-2</v>
      </c>
      <c r="U129" s="20">
        <f t="shared" si="66"/>
        <v>1536383.51</v>
      </c>
      <c r="V129" s="21">
        <f t="shared" si="67"/>
        <v>0.9785882229299363</v>
      </c>
      <c r="W129" s="18">
        <f t="shared" si="80"/>
        <v>1536383.51</v>
      </c>
      <c r="X129" s="19">
        <f t="shared" si="68"/>
        <v>0.9785882229299363</v>
      </c>
      <c r="Y129" s="3"/>
      <c r="Z129" s="3"/>
      <c r="AA129" s="3"/>
      <c r="AB129" s="3"/>
      <c r="AC129" s="3"/>
      <c r="AD129" s="3"/>
      <c r="AE129" s="3"/>
      <c r="AF129" s="3"/>
    </row>
    <row r="130" spans="1:32" s="22" customFormat="1">
      <c r="A130" s="163" t="s">
        <v>307</v>
      </c>
      <c r="B130" s="164" t="s">
        <v>308</v>
      </c>
      <c r="C130" s="173">
        <v>50000</v>
      </c>
      <c r="D130" s="17">
        <f t="shared" ref="D130" si="81">+C130/12</f>
        <v>4166.666666666667</v>
      </c>
      <c r="E130" s="17">
        <v>113593.11</v>
      </c>
      <c r="F130" s="17">
        <v>347033.35</v>
      </c>
      <c r="G130" s="17">
        <v>16747.7</v>
      </c>
      <c r="H130" s="17">
        <v>250069.25</v>
      </c>
      <c r="I130" s="17">
        <v>19488.72</v>
      </c>
      <c r="J130" s="17">
        <v>7490.02</v>
      </c>
      <c r="K130" s="17">
        <v>184827.97</v>
      </c>
      <c r="L130" s="17">
        <v>961886.64</v>
      </c>
      <c r="M130" s="17">
        <v>21585.97</v>
      </c>
      <c r="N130" s="17">
        <v>254801.52</v>
      </c>
      <c r="O130" s="17">
        <v>30385.7</v>
      </c>
      <c r="P130" s="83">
        <v>0</v>
      </c>
      <c r="Q130" s="83">
        <v>0</v>
      </c>
      <c r="R130" s="83">
        <v>649</v>
      </c>
      <c r="S130" s="18">
        <f t="shared" ref="S130" si="82">+P130+Q130</f>
        <v>0</v>
      </c>
      <c r="T130" s="19">
        <f t="shared" ref="T130" si="83">+S130/C130</f>
        <v>0</v>
      </c>
      <c r="U130" s="20">
        <f t="shared" ref="U130" si="84">+C130-S130</f>
        <v>50000</v>
      </c>
      <c r="V130" s="21">
        <f t="shared" ref="V130" si="85">+U130/C130</f>
        <v>1</v>
      </c>
      <c r="W130" s="18">
        <f t="shared" si="80"/>
        <v>50000</v>
      </c>
      <c r="X130" s="19">
        <f t="shared" ref="X130" si="86">+W130/C130</f>
        <v>1</v>
      </c>
      <c r="Y130" s="3"/>
      <c r="Z130" s="3"/>
      <c r="AA130" s="3"/>
      <c r="AB130" s="3"/>
      <c r="AC130" s="3"/>
      <c r="AD130" s="3"/>
      <c r="AE130" s="3"/>
      <c r="AF130" s="3"/>
    </row>
    <row r="131" spans="1:32" s="22" customFormat="1">
      <c r="A131" s="163" t="s">
        <v>242</v>
      </c>
      <c r="B131" s="164" t="s">
        <v>143</v>
      </c>
      <c r="C131" s="173">
        <v>250000</v>
      </c>
      <c r="D131" s="17">
        <f t="shared" si="69"/>
        <v>20833.333333333332</v>
      </c>
      <c r="E131" s="17"/>
      <c r="F131" s="17"/>
      <c r="G131" s="17"/>
      <c r="H131" s="17"/>
      <c r="I131" s="17"/>
      <c r="J131" s="17"/>
      <c r="K131" s="17">
        <v>338.98</v>
      </c>
      <c r="L131" s="17"/>
      <c r="M131" s="17"/>
      <c r="N131" s="17"/>
      <c r="O131" s="17"/>
      <c r="P131" s="83">
        <v>69832.399999999994</v>
      </c>
      <c r="Q131" s="83">
        <v>1064.94</v>
      </c>
      <c r="R131" s="83">
        <v>0</v>
      </c>
      <c r="S131" s="18">
        <f t="shared" si="79"/>
        <v>70897.34</v>
      </c>
      <c r="T131" s="19">
        <f t="shared" si="65"/>
        <v>0.28358936000000001</v>
      </c>
      <c r="U131" s="20">
        <f t="shared" si="66"/>
        <v>179102.66</v>
      </c>
      <c r="V131" s="21">
        <f t="shared" si="67"/>
        <v>0.71641063999999999</v>
      </c>
      <c r="W131" s="18">
        <f t="shared" si="80"/>
        <v>179102.66</v>
      </c>
      <c r="X131" s="19">
        <f t="shared" si="68"/>
        <v>0.71641063999999999</v>
      </c>
      <c r="Y131" s="3"/>
      <c r="Z131" s="3"/>
      <c r="AA131" s="3"/>
      <c r="AB131" s="3"/>
      <c r="AC131" s="3"/>
      <c r="AD131" s="3"/>
      <c r="AE131" s="3"/>
      <c r="AF131" s="3"/>
    </row>
    <row r="132" spans="1:32" s="22" customFormat="1">
      <c r="A132" s="163" t="s">
        <v>243</v>
      </c>
      <c r="B132" s="164" t="s">
        <v>144</v>
      </c>
      <c r="C132" s="173">
        <v>70000</v>
      </c>
      <c r="D132" s="17">
        <f t="shared" si="69"/>
        <v>5833.333333333333</v>
      </c>
      <c r="E132" s="17"/>
      <c r="F132" s="17">
        <v>78.900000000000006</v>
      </c>
      <c r="G132" s="17">
        <v>555</v>
      </c>
      <c r="H132" s="17">
        <v>589</v>
      </c>
      <c r="I132" s="17"/>
      <c r="J132" s="17">
        <v>1029.58</v>
      </c>
      <c r="K132" s="17">
        <v>740</v>
      </c>
      <c r="L132" s="17"/>
      <c r="M132" s="17">
        <v>1134</v>
      </c>
      <c r="N132" s="17">
        <v>1095</v>
      </c>
      <c r="O132" s="17">
        <v>2533.9</v>
      </c>
      <c r="P132" s="83">
        <v>1914.19</v>
      </c>
      <c r="Q132" s="83">
        <v>6384.69</v>
      </c>
      <c r="R132" s="83">
        <v>803.65</v>
      </c>
      <c r="S132" s="18">
        <f t="shared" si="79"/>
        <v>8298.8799999999992</v>
      </c>
      <c r="T132" s="19">
        <f t="shared" si="65"/>
        <v>0.11855542857142856</v>
      </c>
      <c r="U132" s="20">
        <f t="shared" si="66"/>
        <v>61701.120000000003</v>
      </c>
      <c r="V132" s="21">
        <f t="shared" si="67"/>
        <v>0.88144457142857147</v>
      </c>
      <c r="W132" s="18">
        <f t="shared" si="80"/>
        <v>61701.120000000003</v>
      </c>
      <c r="X132" s="19">
        <f t="shared" si="68"/>
        <v>0.88144457142857147</v>
      </c>
      <c r="Y132" s="3"/>
      <c r="Z132" s="3"/>
      <c r="AA132" s="3"/>
      <c r="AB132" s="3"/>
      <c r="AC132" s="3"/>
      <c r="AD132" s="3"/>
      <c r="AE132" s="3"/>
      <c r="AF132" s="3"/>
    </row>
    <row r="133" spans="1:32" s="22" customFormat="1">
      <c r="A133" s="163" t="s">
        <v>244</v>
      </c>
      <c r="B133" s="169" t="s">
        <v>145</v>
      </c>
      <c r="C133" s="173">
        <f>500000-50000</f>
        <v>450000</v>
      </c>
      <c r="D133" s="17">
        <f t="shared" ref="D133" si="87">+C133/12</f>
        <v>37500</v>
      </c>
      <c r="E133" s="17">
        <v>341141.18</v>
      </c>
      <c r="F133" s="17">
        <v>270942.5</v>
      </c>
      <c r="G133" s="17">
        <v>23265.13</v>
      </c>
      <c r="H133" s="17">
        <v>293999.13</v>
      </c>
      <c r="I133" s="17">
        <v>126547.59</v>
      </c>
      <c r="J133" s="17">
        <v>286761.62</v>
      </c>
      <c r="K133" s="17">
        <v>132401.29999999999</v>
      </c>
      <c r="L133" s="17">
        <v>1011858.68</v>
      </c>
      <c r="M133" s="17">
        <v>11733.8</v>
      </c>
      <c r="N133" s="17">
        <v>214046.36</v>
      </c>
      <c r="O133" s="17">
        <v>158803.96</v>
      </c>
      <c r="P133" s="83">
        <v>163733.78</v>
      </c>
      <c r="Q133" s="83">
        <v>0</v>
      </c>
      <c r="R133" s="83">
        <v>52522.74</v>
      </c>
      <c r="S133" s="18">
        <f t="shared" ref="S133" si="88">+P133+Q133</f>
        <v>163733.78</v>
      </c>
      <c r="T133" s="19">
        <f t="shared" ref="T133" si="89">+S133/C133</f>
        <v>0.36385284444444443</v>
      </c>
      <c r="U133" s="20">
        <f t="shared" ref="U133" si="90">+C133-S133</f>
        <v>286266.21999999997</v>
      </c>
      <c r="V133" s="21">
        <f t="shared" ref="V133" si="91">+U133/C133</f>
        <v>0.63614715555555545</v>
      </c>
      <c r="W133" s="18">
        <f t="shared" si="80"/>
        <v>286266.21999999997</v>
      </c>
      <c r="X133" s="19">
        <f t="shared" ref="X133" si="92">+W133/C133</f>
        <v>0.63614715555555545</v>
      </c>
      <c r="Y133" s="3"/>
      <c r="Z133" s="3"/>
      <c r="AA133" s="3"/>
      <c r="AB133" s="3"/>
      <c r="AC133" s="3"/>
      <c r="AD133" s="3"/>
      <c r="AE133" s="3"/>
      <c r="AF133" s="3"/>
    </row>
    <row r="134" spans="1:32" s="22" customFormat="1">
      <c r="A134" s="163" t="s">
        <v>309</v>
      </c>
      <c r="B134" s="169" t="s">
        <v>310</v>
      </c>
      <c r="C134" s="173">
        <v>30000</v>
      </c>
      <c r="D134" s="17">
        <f t="shared" si="69"/>
        <v>2500</v>
      </c>
      <c r="E134" s="17">
        <v>341141.18</v>
      </c>
      <c r="F134" s="17">
        <v>270942.5</v>
      </c>
      <c r="G134" s="17">
        <v>23265.13</v>
      </c>
      <c r="H134" s="17">
        <v>293999.13</v>
      </c>
      <c r="I134" s="17">
        <v>126547.59</v>
      </c>
      <c r="J134" s="17">
        <v>286761.62</v>
      </c>
      <c r="K134" s="17">
        <v>132401.29999999999</v>
      </c>
      <c r="L134" s="17">
        <v>1011858.68</v>
      </c>
      <c r="M134" s="17">
        <v>11733.8</v>
      </c>
      <c r="N134" s="17">
        <v>214046.36</v>
      </c>
      <c r="O134" s="17">
        <v>158803.96</v>
      </c>
      <c r="P134" s="83">
        <v>0</v>
      </c>
      <c r="Q134" s="83">
        <v>0</v>
      </c>
      <c r="R134" s="83">
        <v>799.99</v>
      </c>
      <c r="S134" s="18">
        <f t="shared" si="79"/>
        <v>0</v>
      </c>
      <c r="T134" s="19">
        <f t="shared" si="65"/>
        <v>0</v>
      </c>
      <c r="U134" s="20">
        <f t="shared" si="66"/>
        <v>30000</v>
      </c>
      <c r="V134" s="21">
        <f t="shared" si="67"/>
        <v>1</v>
      </c>
      <c r="W134" s="18">
        <f t="shared" si="80"/>
        <v>30000</v>
      </c>
      <c r="X134" s="19">
        <f t="shared" si="68"/>
        <v>1</v>
      </c>
      <c r="Y134" s="3"/>
      <c r="Z134" s="3"/>
      <c r="AA134" s="3"/>
      <c r="AB134" s="3"/>
      <c r="AC134" s="3"/>
      <c r="AD134" s="3"/>
      <c r="AE134" s="3"/>
      <c r="AF134" s="3"/>
    </row>
    <row r="135" spans="1:32" s="22" customFormat="1" hidden="1">
      <c r="A135" s="92" t="s">
        <v>146</v>
      </c>
      <c r="B135" s="15" t="s">
        <v>147</v>
      </c>
      <c r="C135" s="38"/>
      <c r="D135" s="17">
        <v>0</v>
      </c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26"/>
      <c r="T135" s="26"/>
      <c r="U135" s="38"/>
      <c r="V135" s="38"/>
      <c r="W135" s="26"/>
      <c r="X135" s="26"/>
      <c r="Y135" s="3"/>
      <c r="Z135" s="3"/>
      <c r="AA135" s="3"/>
      <c r="AB135" s="3"/>
      <c r="AC135" s="3"/>
      <c r="AD135" s="3"/>
      <c r="AE135" s="3"/>
      <c r="AF135" s="3"/>
    </row>
    <row r="136" spans="1:32" s="3" customFormat="1" hidden="1">
      <c r="A136" s="92" t="s">
        <v>148</v>
      </c>
      <c r="B136" s="15" t="s">
        <v>149</v>
      </c>
      <c r="C136" s="38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26"/>
      <c r="T136" s="26"/>
      <c r="U136" s="38"/>
      <c r="V136" s="38"/>
      <c r="W136" s="26"/>
      <c r="X136" s="26"/>
    </row>
    <row r="137" spans="1:32" s="3" customFormat="1">
      <c r="A137" s="88" t="s">
        <v>150</v>
      </c>
      <c r="B137" s="24" t="s">
        <v>151</v>
      </c>
      <c r="C137" s="9">
        <f t="shared" ref="C137:O137" si="93">SUM(C138:C140)</f>
        <v>2044800</v>
      </c>
      <c r="D137" s="9">
        <f>SUM(D138:D140)</f>
        <v>170400</v>
      </c>
      <c r="E137" s="10">
        <f t="shared" si="93"/>
        <v>78000</v>
      </c>
      <c r="F137" s="10">
        <f t="shared" si="93"/>
        <v>78000</v>
      </c>
      <c r="G137" s="10">
        <f t="shared" si="93"/>
        <v>128000</v>
      </c>
      <c r="H137" s="10">
        <f t="shared" si="93"/>
        <v>158000</v>
      </c>
      <c r="I137" s="10">
        <f t="shared" si="93"/>
        <v>623000</v>
      </c>
      <c r="J137" s="10">
        <f t="shared" si="93"/>
        <v>78000</v>
      </c>
      <c r="K137" s="10">
        <f t="shared" si="93"/>
        <v>38000</v>
      </c>
      <c r="L137" s="10">
        <f t="shared" si="93"/>
        <v>38000</v>
      </c>
      <c r="M137" s="10">
        <f>SUM(M138:M140)</f>
        <v>191709.9</v>
      </c>
      <c r="N137" s="10">
        <f t="shared" si="93"/>
        <v>128000</v>
      </c>
      <c r="O137" s="10">
        <f t="shared" si="93"/>
        <v>669000</v>
      </c>
      <c r="P137" s="10">
        <f>+P139+P140</f>
        <v>191840</v>
      </c>
      <c r="Q137" s="10">
        <f>+Q139+Q140</f>
        <v>304345</v>
      </c>
      <c r="R137" s="10">
        <f>+R139+R140</f>
        <v>654350</v>
      </c>
      <c r="S137" s="11">
        <f>+S139+S140</f>
        <v>496185</v>
      </c>
      <c r="T137" s="12">
        <f>+S137/C137</f>
        <v>0.24265698356807511</v>
      </c>
      <c r="U137" s="13">
        <f>+C137-S137</f>
        <v>1548615</v>
      </c>
      <c r="V137" s="14">
        <f>+U137/C137</f>
        <v>0.75734301643192492</v>
      </c>
      <c r="W137" s="96">
        <f>+W139+W140</f>
        <v>1548615</v>
      </c>
      <c r="X137" s="97">
        <f>+W137/G137</f>
        <v>12.0985546875</v>
      </c>
    </row>
    <row r="138" spans="1:32" s="3" customFormat="1" hidden="1">
      <c r="A138" s="92" t="s">
        <v>152</v>
      </c>
      <c r="B138" s="15" t="s">
        <v>153</v>
      </c>
      <c r="C138" s="16">
        <f>2140000-300000-4000-600-210000-150000-1400000-30000-45400</f>
        <v>0</v>
      </c>
      <c r="D138" s="17">
        <f>+C138/12</f>
        <v>0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26">
        <f>SUM(E138:P138)</f>
        <v>0</v>
      </c>
      <c r="T138" s="19" t="e">
        <f>+S138/C138</f>
        <v>#DIV/0!</v>
      </c>
      <c r="U138" s="20">
        <f>+C138-S138</f>
        <v>0</v>
      </c>
      <c r="V138" s="21" t="e">
        <f>+U138/C138</f>
        <v>#DIV/0!</v>
      </c>
      <c r="W138" s="26" t="e">
        <f>SUM(I138:V138)</f>
        <v>#DIV/0!</v>
      </c>
      <c r="X138" s="19" t="e">
        <f>+W138/G138</f>
        <v>#DIV/0!</v>
      </c>
    </row>
    <row r="139" spans="1:32" s="3" customFormat="1">
      <c r="A139" s="163" t="s">
        <v>245</v>
      </c>
      <c r="B139" s="164" t="s">
        <v>154</v>
      </c>
      <c r="C139" s="167">
        <v>1024800</v>
      </c>
      <c r="D139" s="17">
        <f t="shared" ref="D139:D140" si="94">+C139/12</f>
        <v>85400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27">
        <f>30000+3919790.02+58000-3815950.02</f>
        <v>191840</v>
      </c>
      <c r="Q139" s="17">
        <f>30000+123000+151345</f>
        <v>304345</v>
      </c>
      <c r="R139" s="83">
        <v>654350</v>
      </c>
      <c r="S139" s="18">
        <f t="shared" ref="S139:S140" si="95">+P139+Q139</f>
        <v>496185</v>
      </c>
      <c r="T139" s="19">
        <f>+S139/C139</f>
        <v>0.48417740046838409</v>
      </c>
      <c r="U139" s="20"/>
      <c r="V139" s="21"/>
      <c r="W139" s="18">
        <f>+C139-S139</f>
        <v>528615</v>
      </c>
      <c r="X139" s="19">
        <f>+W139/C139</f>
        <v>0.51582259953161591</v>
      </c>
    </row>
    <row r="140" spans="1:32" s="3" customFormat="1">
      <c r="A140" s="163" t="s">
        <v>246</v>
      </c>
      <c r="B140" s="164" t="s">
        <v>167</v>
      </c>
      <c r="C140" s="167">
        <v>1020000</v>
      </c>
      <c r="D140" s="17">
        <f t="shared" si="94"/>
        <v>85000</v>
      </c>
      <c r="E140" s="17">
        <v>78000</v>
      </c>
      <c r="F140" s="17">
        <v>78000</v>
      </c>
      <c r="G140" s="17">
        <f>78000+50000</f>
        <v>128000</v>
      </c>
      <c r="H140" s="17">
        <v>158000</v>
      </c>
      <c r="I140" s="17">
        <f>200000+220000+203000</f>
        <v>623000</v>
      </c>
      <c r="J140" s="17">
        <v>78000</v>
      </c>
      <c r="K140" s="17">
        <v>38000</v>
      </c>
      <c r="L140" s="17">
        <v>38000</v>
      </c>
      <c r="M140" s="17">
        <f>191000+709.9</f>
        <v>191709.9</v>
      </c>
      <c r="N140" s="17">
        <f>30000+40000+58000</f>
        <v>128000</v>
      </c>
      <c r="O140" s="17">
        <f>30000+639000</f>
        <v>669000</v>
      </c>
      <c r="P140" s="17">
        <v>0</v>
      </c>
      <c r="Q140" s="17">
        <v>0</v>
      </c>
      <c r="R140" s="83">
        <v>0</v>
      </c>
      <c r="S140" s="18">
        <f t="shared" si="95"/>
        <v>0</v>
      </c>
      <c r="T140" s="19">
        <f>+S140/C140</f>
        <v>0</v>
      </c>
      <c r="U140" s="20">
        <f>+C140-S140</f>
        <v>1020000</v>
      </c>
      <c r="V140" s="21">
        <f>+U140/C140</f>
        <v>1</v>
      </c>
      <c r="W140" s="18">
        <f>+C140-S140</f>
        <v>1020000</v>
      </c>
      <c r="X140" s="19">
        <f>+W140/C140</f>
        <v>1</v>
      </c>
    </row>
    <row r="141" spans="1:32" s="3" customFormat="1" hidden="1">
      <c r="A141" s="92" t="s">
        <v>155</v>
      </c>
      <c r="B141" s="15" t="s">
        <v>156</v>
      </c>
      <c r="C141" s="16"/>
      <c r="D141" s="17">
        <v>0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26"/>
      <c r="T141" s="26"/>
      <c r="U141" s="16"/>
      <c r="V141" s="16"/>
      <c r="W141" s="26"/>
      <c r="X141" s="26"/>
    </row>
    <row r="142" spans="1:32" s="3" customFormat="1" hidden="1">
      <c r="A142" s="92" t="s">
        <v>157</v>
      </c>
      <c r="B142" s="15" t="s">
        <v>158</v>
      </c>
      <c r="C142" s="38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26"/>
      <c r="T142" s="26"/>
      <c r="U142" s="38"/>
      <c r="V142" s="38"/>
      <c r="W142" s="26"/>
      <c r="X142" s="26"/>
    </row>
    <row r="143" spans="1:32" s="3" customFormat="1" hidden="1">
      <c r="A143" s="88" t="s">
        <v>159</v>
      </c>
      <c r="B143" s="24" t="s">
        <v>160</v>
      </c>
      <c r="C143" s="42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26"/>
      <c r="T143" s="26"/>
      <c r="U143" s="42"/>
      <c r="V143" s="42"/>
      <c r="W143" s="26"/>
      <c r="X143" s="26"/>
      <c r="Y143" s="4"/>
      <c r="Z143" s="4"/>
      <c r="AA143" s="4"/>
      <c r="AB143" s="4"/>
      <c r="AC143" s="4"/>
      <c r="AD143" s="4"/>
      <c r="AE143" s="4"/>
      <c r="AF143" s="4"/>
    </row>
    <row r="144" spans="1:32" s="3" customFormat="1" hidden="1">
      <c r="A144" s="92" t="s">
        <v>161</v>
      </c>
      <c r="B144" s="15" t="s">
        <v>162</v>
      </c>
      <c r="C144" s="38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26"/>
      <c r="T144" s="26"/>
      <c r="U144" s="38"/>
      <c r="V144" s="38"/>
      <c r="W144" s="26"/>
      <c r="X144" s="26"/>
      <c r="Y144" s="4"/>
      <c r="Z144" s="4"/>
      <c r="AA144" s="4"/>
      <c r="AB144" s="4"/>
      <c r="AC144" s="4"/>
      <c r="AD144" s="4"/>
      <c r="AE144" s="4"/>
      <c r="AF144" s="4"/>
    </row>
    <row r="145" spans="1:32" s="3" customFormat="1" ht="30" hidden="1">
      <c r="A145" s="92" t="s">
        <v>163</v>
      </c>
      <c r="B145" s="43" t="s">
        <v>164</v>
      </c>
      <c r="C145" s="38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26"/>
      <c r="T145" s="26"/>
      <c r="U145" s="38"/>
      <c r="V145" s="38"/>
      <c r="W145" s="26"/>
      <c r="X145" s="26"/>
      <c r="Y145" s="4"/>
      <c r="Z145" s="4"/>
      <c r="AA145" s="4"/>
      <c r="AB145" s="4"/>
      <c r="AC145" s="4"/>
      <c r="AD145" s="4"/>
      <c r="AE145" s="4"/>
      <c r="AF145" s="4"/>
    </row>
    <row r="146" spans="1:32" s="3" customFormat="1">
      <c r="A146" s="88" t="s">
        <v>165</v>
      </c>
      <c r="B146" s="24" t="s">
        <v>166</v>
      </c>
      <c r="C146" s="9">
        <f t="shared" ref="C146:O146" si="96">SUM(C147:C149)</f>
        <v>420000</v>
      </c>
      <c r="D146" s="9">
        <f>+D147</f>
        <v>35000</v>
      </c>
      <c r="E146" s="10">
        <f t="shared" si="96"/>
        <v>183162</v>
      </c>
      <c r="F146" s="10">
        <f t="shared" si="96"/>
        <v>0</v>
      </c>
      <c r="G146" s="10">
        <f t="shared" si="96"/>
        <v>0</v>
      </c>
      <c r="H146" s="10">
        <f t="shared" si="96"/>
        <v>75900.5</v>
      </c>
      <c r="I146" s="10">
        <f t="shared" si="96"/>
        <v>40575</v>
      </c>
      <c r="J146" s="10">
        <f t="shared" si="96"/>
        <v>269226</v>
      </c>
      <c r="K146" s="10">
        <f t="shared" si="96"/>
        <v>0</v>
      </c>
      <c r="L146" s="10">
        <f t="shared" si="96"/>
        <v>0</v>
      </c>
      <c r="M146" s="10">
        <f t="shared" si="96"/>
        <v>0</v>
      </c>
      <c r="N146" s="10">
        <f t="shared" si="96"/>
        <v>0</v>
      </c>
      <c r="O146" s="10">
        <f t="shared" si="96"/>
        <v>0</v>
      </c>
      <c r="P146" s="10">
        <f>+P147</f>
        <v>35000</v>
      </c>
      <c r="Q146" s="10">
        <f>+Q147</f>
        <v>70000</v>
      </c>
      <c r="R146" s="10">
        <f>+R147</f>
        <v>31510.959999999999</v>
      </c>
      <c r="S146" s="11">
        <f>+S147</f>
        <v>105000</v>
      </c>
      <c r="T146" s="12">
        <f t="shared" ref="T146:T152" si="97">+S146/C146</f>
        <v>0.25</v>
      </c>
      <c r="U146" s="13">
        <f t="shared" ref="U146:U152" si="98">+C146-S146</f>
        <v>315000</v>
      </c>
      <c r="V146" s="14">
        <f t="shared" ref="V146:V152" si="99">+U146/C146</f>
        <v>0.75</v>
      </c>
      <c r="W146" s="96">
        <f>+W147</f>
        <v>315000</v>
      </c>
      <c r="X146" s="97">
        <f>+W146/C146</f>
        <v>0.75</v>
      </c>
      <c r="Y146" s="4"/>
      <c r="Z146" s="4"/>
      <c r="AA146" s="4"/>
      <c r="AB146" s="4"/>
      <c r="AC146" s="4"/>
      <c r="AD146" s="4"/>
      <c r="AE146" s="4"/>
      <c r="AF146" s="4"/>
    </row>
    <row r="147" spans="1:32" s="3" customFormat="1">
      <c r="A147" s="163" t="s">
        <v>247</v>
      </c>
      <c r="B147" s="164" t="s">
        <v>168</v>
      </c>
      <c r="C147" s="173">
        <v>420000</v>
      </c>
      <c r="D147" s="17">
        <f t="shared" ref="D147" si="100">+C147/12</f>
        <v>35000</v>
      </c>
      <c r="E147" s="17">
        <v>183162</v>
      </c>
      <c r="F147" s="17"/>
      <c r="G147" s="17"/>
      <c r="H147" s="17">
        <v>75900.5</v>
      </c>
      <c r="I147" s="17">
        <v>40575</v>
      </c>
      <c r="J147" s="17">
        <v>269226</v>
      </c>
      <c r="K147" s="17"/>
      <c r="L147" s="17"/>
      <c r="M147" s="17"/>
      <c r="N147" s="17"/>
      <c r="O147" s="17"/>
      <c r="P147" s="85">
        <v>35000</v>
      </c>
      <c r="Q147" s="85">
        <v>70000</v>
      </c>
      <c r="R147" s="85">
        <v>31510.959999999999</v>
      </c>
      <c r="S147" s="18">
        <f t="shared" ref="S147" si="101">+P147+Q147</f>
        <v>105000</v>
      </c>
      <c r="T147" s="19">
        <f t="shared" si="97"/>
        <v>0.25</v>
      </c>
      <c r="U147" s="20">
        <f t="shared" si="98"/>
        <v>315000</v>
      </c>
      <c r="V147" s="21">
        <f t="shared" si="99"/>
        <v>0.75</v>
      </c>
      <c r="W147" s="18">
        <f>+C147-S147</f>
        <v>315000</v>
      </c>
      <c r="X147" s="19">
        <f>+W147/C147</f>
        <v>0.75</v>
      </c>
      <c r="Y147" s="4"/>
      <c r="Z147" s="4"/>
      <c r="AA147" s="4"/>
      <c r="AB147" s="4"/>
      <c r="AC147" s="4"/>
      <c r="AD147" s="4"/>
      <c r="AE147" s="4"/>
      <c r="AF147" s="4"/>
    </row>
    <row r="148" spans="1:32" s="3" customFormat="1" hidden="1">
      <c r="A148" s="88"/>
      <c r="B148" s="24"/>
      <c r="C148" s="42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26">
        <f>SUM(E148:P148)</f>
        <v>0</v>
      </c>
      <c r="T148" s="19" t="e">
        <f t="shared" si="97"/>
        <v>#DIV/0!</v>
      </c>
      <c r="U148" s="20">
        <f t="shared" si="98"/>
        <v>0</v>
      </c>
      <c r="V148" s="21" t="e">
        <f t="shared" si="99"/>
        <v>#DIV/0!</v>
      </c>
      <c r="W148" s="26" t="e">
        <f>SUM(I148:V148)</f>
        <v>#DIV/0!</v>
      </c>
      <c r="X148" s="19" t="e">
        <f>+W148/G148</f>
        <v>#DIV/0!</v>
      </c>
      <c r="Y148" s="4"/>
      <c r="Z148" s="4"/>
      <c r="AA148" s="4"/>
      <c r="AB148" s="4"/>
      <c r="AC148" s="4"/>
      <c r="AD148" s="4"/>
      <c r="AE148" s="4"/>
      <c r="AF148" s="4"/>
    </row>
    <row r="149" spans="1:32" s="3" customFormat="1" hidden="1">
      <c r="A149" s="92"/>
      <c r="B149" s="43"/>
      <c r="C149" s="38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26">
        <f>SUM(E149:P149)</f>
        <v>0</v>
      </c>
      <c r="T149" s="19" t="e">
        <f t="shared" si="97"/>
        <v>#DIV/0!</v>
      </c>
      <c r="U149" s="20">
        <f t="shared" si="98"/>
        <v>0</v>
      </c>
      <c r="V149" s="21" t="e">
        <f t="shared" si="99"/>
        <v>#DIV/0!</v>
      </c>
      <c r="W149" s="26" t="e">
        <f>SUM(I149:V149)</f>
        <v>#DIV/0!</v>
      </c>
      <c r="X149" s="19" t="e">
        <f>+W149/G149</f>
        <v>#DIV/0!</v>
      </c>
      <c r="Y149" s="4"/>
      <c r="Z149" s="4"/>
      <c r="AA149" s="4"/>
      <c r="AB149" s="4"/>
      <c r="AC149" s="4"/>
      <c r="AD149" s="4"/>
      <c r="AE149" s="4"/>
      <c r="AF149" s="4"/>
    </row>
    <row r="150" spans="1:32" s="3" customFormat="1">
      <c r="A150" s="88" t="s">
        <v>169</v>
      </c>
      <c r="B150" s="24" t="s">
        <v>170</v>
      </c>
      <c r="C150" s="9">
        <f>SUM(C151:C157)</f>
        <v>5440000</v>
      </c>
      <c r="D150" s="9">
        <f>SUM(D151:D157)</f>
        <v>441666.66666666669</v>
      </c>
      <c r="E150" s="10">
        <f t="shared" ref="E150:L150" si="102">SUM(E151:E152)</f>
        <v>781163.54</v>
      </c>
      <c r="F150" s="10">
        <f t="shared" si="102"/>
        <v>0</v>
      </c>
      <c r="G150" s="10">
        <f t="shared" si="102"/>
        <v>1363972.8</v>
      </c>
      <c r="H150" s="10">
        <f t="shared" si="102"/>
        <v>0</v>
      </c>
      <c r="I150" s="10">
        <f t="shared" si="102"/>
        <v>23423</v>
      </c>
      <c r="J150" s="10">
        <f t="shared" si="102"/>
        <v>887660.9</v>
      </c>
      <c r="K150" s="10">
        <f t="shared" si="102"/>
        <v>55932</v>
      </c>
      <c r="L150" s="10">
        <f t="shared" si="102"/>
        <v>876822.6</v>
      </c>
      <c r="M150" s="10">
        <f>SUM(M151:M154)</f>
        <v>0</v>
      </c>
      <c r="N150" s="10">
        <f>SUM(N151:N152)</f>
        <v>29332.080000000002</v>
      </c>
      <c r="O150" s="10" t="e">
        <f>SUM(O151:O152)+#REF!</f>
        <v>#REF!</v>
      </c>
      <c r="P150" s="10">
        <f>+P151+P152+P153+P154+P156+P157</f>
        <v>1668654.6</v>
      </c>
      <c r="Q150" s="10">
        <f>+Q151+Q152+Q153+Q154+Q155+Q156+Q157</f>
        <v>538869.72</v>
      </c>
      <c r="R150" s="10">
        <f>SUM(R151:R157)</f>
        <v>293185</v>
      </c>
      <c r="S150" s="11">
        <f>SUM(S151:S157)</f>
        <v>2207524.3199999998</v>
      </c>
      <c r="T150" s="12">
        <f t="shared" si="97"/>
        <v>0.40579491176470583</v>
      </c>
      <c r="U150" s="13">
        <f t="shared" si="98"/>
        <v>3232475.68</v>
      </c>
      <c r="V150" s="14">
        <f t="shared" si="99"/>
        <v>0.59420508823529417</v>
      </c>
      <c r="W150" s="96">
        <f>+W151+W152+W156+W157</f>
        <v>2989212.14</v>
      </c>
      <c r="X150" s="97">
        <f>+W150/C150</f>
        <v>0.54948752573529414</v>
      </c>
      <c r="Y150" s="4"/>
      <c r="Z150" s="4"/>
      <c r="AA150" s="4"/>
      <c r="AB150" s="4"/>
      <c r="AC150" s="4"/>
      <c r="AD150" s="4"/>
      <c r="AE150" s="4"/>
      <c r="AF150" s="4"/>
    </row>
    <row r="151" spans="1:32" s="29" customFormat="1">
      <c r="A151" s="168" t="s">
        <v>248</v>
      </c>
      <c r="B151" s="169" t="s">
        <v>171</v>
      </c>
      <c r="C151" s="167">
        <v>1500000</v>
      </c>
      <c r="D151" s="17">
        <f t="shared" ref="D151:D157" si="103">+C151/12</f>
        <v>125000</v>
      </c>
      <c r="E151" s="17">
        <v>781163.54</v>
      </c>
      <c r="F151" s="17"/>
      <c r="G151" s="17">
        <v>1363972.8</v>
      </c>
      <c r="H151" s="17"/>
      <c r="I151" s="17">
        <v>23423</v>
      </c>
      <c r="J151" s="17">
        <v>887660.9</v>
      </c>
      <c r="K151" s="17"/>
      <c r="L151" s="17">
        <v>876822.6</v>
      </c>
      <c r="M151" s="17"/>
      <c r="N151" s="17">
        <v>29332.080000000002</v>
      </c>
      <c r="O151" s="17">
        <v>9280</v>
      </c>
      <c r="P151" s="83">
        <f>247800+61560.6</f>
        <v>309360.59999999998</v>
      </c>
      <c r="Q151" s="83">
        <v>80500.31</v>
      </c>
      <c r="R151" s="83">
        <v>0</v>
      </c>
      <c r="S151" s="18">
        <f t="shared" ref="S151:S159" si="104">+P151+Q151</f>
        <v>389860.91</v>
      </c>
      <c r="T151" s="19">
        <f t="shared" si="97"/>
        <v>0.2599072733333333</v>
      </c>
      <c r="U151" s="20">
        <f t="shared" si="98"/>
        <v>1110139.0900000001</v>
      </c>
      <c r="V151" s="21">
        <f t="shared" si="99"/>
        <v>0.7400927266666667</v>
      </c>
      <c r="W151" s="18">
        <f>+C151-S151</f>
        <v>1110139.0900000001</v>
      </c>
      <c r="X151" s="19">
        <f>+W151/C151</f>
        <v>0.7400927266666667</v>
      </c>
    </row>
    <row r="152" spans="1:32" s="29" customFormat="1">
      <c r="A152" s="168" t="s">
        <v>249</v>
      </c>
      <c r="B152" s="169" t="s">
        <v>172</v>
      </c>
      <c r="C152" s="167">
        <v>1500000</v>
      </c>
      <c r="D152" s="17">
        <f t="shared" si="103"/>
        <v>125000</v>
      </c>
      <c r="E152" s="17"/>
      <c r="F152" s="17"/>
      <c r="G152" s="17"/>
      <c r="H152" s="17"/>
      <c r="I152" s="17"/>
      <c r="J152" s="17"/>
      <c r="K152" s="17">
        <f>23010+32922</f>
        <v>55932</v>
      </c>
      <c r="L152" s="17"/>
      <c r="M152" s="17"/>
      <c r="N152" s="17"/>
      <c r="O152" s="17"/>
      <c r="P152" s="83">
        <v>333586</v>
      </c>
      <c r="Q152" s="83">
        <v>373266.45</v>
      </c>
      <c r="R152" s="83">
        <v>0</v>
      </c>
      <c r="S152" s="18">
        <f t="shared" si="104"/>
        <v>706852.45</v>
      </c>
      <c r="T152" s="19">
        <f t="shared" si="97"/>
        <v>0.47123496666666664</v>
      </c>
      <c r="U152" s="20">
        <f t="shared" si="98"/>
        <v>793147.55</v>
      </c>
      <c r="V152" s="21">
        <f t="shared" si="99"/>
        <v>0.52876503333333336</v>
      </c>
      <c r="W152" s="18">
        <f>+C152-S152</f>
        <v>793147.55</v>
      </c>
      <c r="X152" s="19">
        <f>+W152/C152</f>
        <v>0.52876503333333336</v>
      </c>
    </row>
    <row r="153" spans="1:32" s="29" customFormat="1">
      <c r="A153" s="168" t="s">
        <v>291</v>
      </c>
      <c r="B153" s="169" t="s">
        <v>290</v>
      </c>
      <c r="C153" s="167">
        <v>100000</v>
      </c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83">
        <v>0</v>
      </c>
      <c r="Q153" s="83">
        <v>84352.960000000006</v>
      </c>
      <c r="R153" s="83">
        <v>292600</v>
      </c>
      <c r="S153" s="18">
        <f t="shared" si="104"/>
        <v>84352.960000000006</v>
      </c>
      <c r="T153" s="19"/>
      <c r="U153" s="20"/>
      <c r="V153" s="21"/>
      <c r="W153" s="18"/>
      <c r="X153" s="19"/>
    </row>
    <row r="154" spans="1:32" s="44" customFormat="1">
      <c r="A154" s="168" t="s">
        <v>278</v>
      </c>
      <c r="B154" s="28" t="s">
        <v>279</v>
      </c>
      <c r="C154" s="16">
        <v>1000000</v>
      </c>
      <c r="D154" s="17">
        <f t="shared" si="103"/>
        <v>83333.333333333328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83">
        <v>811633.5</v>
      </c>
      <c r="Q154" s="83">
        <v>0</v>
      </c>
      <c r="R154" s="83">
        <v>0</v>
      </c>
      <c r="S154" s="18">
        <f t="shared" si="104"/>
        <v>811633.5</v>
      </c>
      <c r="T154" s="19">
        <f>+S154/C154</f>
        <v>0.81163350000000001</v>
      </c>
      <c r="U154" s="16">
        <v>0</v>
      </c>
      <c r="V154" s="16"/>
      <c r="W154" s="18">
        <f>+C154-S154</f>
        <v>188366.5</v>
      </c>
      <c r="X154" s="19">
        <f>+W154/C154</f>
        <v>0.18836649999999999</v>
      </c>
    </row>
    <row r="155" spans="1:32" s="44" customFormat="1">
      <c r="A155" s="168" t="s">
        <v>293</v>
      </c>
      <c r="B155" s="28" t="s">
        <v>292</v>
      </c>
      <c r="C155" s="16">
        <v>40000</v>
      </c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83">
        <v>0</v>
      </c>
      <c r="Q155" s="83">
        <v>750</v>
      </c>
      <c r="R155" s="83">
        <v>585</v>
      </c>
      <c r="S155" s="18">
        <f t="shared" si="104"/>
        <v>750</v>
      </c>
      <c r="T155" s="19"/>
      <c r="U155" s="16"/>
      <c r="V155" s="16"/>
      <c r="W155" s="18"/>
      <c r="X155" s="19"/>
    </row>
    <row r="156" spans="1:32" s="44" customFormat="1">
      <c r="A156" s="168" t="s">
        <v>262</v>
      </c>
      <c r="B156" s="169" t="s">
        <v>263</v>
      </c>
      <c r="C156" s="167">
        <v>500000</v>
      </c>
      <c r="D156" s="17">
        <f t="shared" si="103"/>
        <v>41666.666666666664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83">
        <v>66574.5</v>
      </c>
      <c r="Q156" s="83">
        <v>0</v>
      </c>
      <c r="R156" s="83">
        <v>0</v>
      </c>
      <c r="S156" s="18">
        <f t="shared" si="104"/>
        <v>66574.5</v>
      </c>
      <c r="T156" s="19">
        <f>+S156/C156</f>
        <v>0.13314899999999999</v>
      </c>
      <c r="U156" s="16"/>
      <c r="V156" s="16"/>
      <c r="W156" s="18">
        <f>+C156-S156</f>
        <v>433425.5</v>
      </c>
      <c r="X156" s="19">
        <f>+W156/C156</f>
        <v>0.86685100000000004</v>
      </c>
    </row>
    <row r="157" spans="1:32" s="44" customFormat="1">
      <c r="A157" s="168" t="s">
        <v>264</v>
      </c>
      <c r="B157" s="169" t="s">
        <v>265</v>
      </c>
      <c r="C157" s="167">
        <v>800000</v>
      </c>
      <c r="D157" s="17">
        <f t="shared" si="103"/>
        <v>66666.666666666672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83">
        <v>147500</v>
      </c>
      <c r="Q157" s="83">
        <v>0</v>
      </c>
      <c r="R157" s="83">
        <v>0</v>
      </c>
      <c r="S157" s="18">
        <f t="shared" si="104"/>
        <v>147500</v>
      </c>
      <c r="T157" s="19">
        <f>+S157/C157</f>
        <v>0.18437500000000001</v>
      </c>
      <c r="U157" s="16"/>
      <c r="V157" s="16"/>
      <c r="W157" s="18">
        <f>+C157-S157</f>
        <v>652500</v>
      </c>
      <c r="X157" s="19">
        <f>+W157/C157</f>
        <v>0.81562500000000004</v>
      </c>
    </row>
    <row r="158" spans="1:32" s="44" customFormat="1">
      <c r="A158" s="88" t="s">
        <v>294</v>
      </c>
      <c r="B158" s="24" t="s">
        <v>295</v>
      </c>
      <c r="C158" s="9">
        <f>SUM(C159:C165)</f>
        <v>2429081741.46</v>
      </c>
      <c r="D158" s="9">
        <f>SUM(D159:D165)</f>
        <v>187910481.25333336</v>
      </c>
      <c r="E158" s="10">
        <f t="shared" ref="E158:L158" si="105">SUM(E159:E160)</f>
        <v>88549347.230000004</v>
      </c>
      <c r="F158" s="10">
        <f t="shared" si="105"/>
        <v>64182566.920000002</v>
      </c>
      <c r="G158" s="10">
        <f t="shared" si="105"/>
        <v>63921200.850000001</v>
      </c>
      <c r="H158" s="10">
        <f t="shared" si="105"/>
        <v>62778692.93</v>
      </c>
      <c r="I158" s="10">
        <f t="shared" si="105"/>
        <v>65735267.380000003</v>
      </c>
      <c r="J158" s="10">
        <f t="shared" si="105"/>
        <v>63600555.68</v>
      </c>
      <c r="K158" s="10">
        <f t="shared" si="105"/>
        <v>64785128.569999993</v>
      </c>
      <c r="L158" s="10">
        <f t="shared" si="105"/>
        <v>72498472.659999996</v>
      </c>
      <c r="M158" s="10" t="e">
        <f>SUM(M159:M162)</f>
        <v>#REF!</v>
      </c>
      <c r="N158" s="10">
        <f>SUM(N159:N160)</f>
        <v>66735290.329999991</v>
      </c>
      <c r="O158" s="10" t="e">
        <f>SUM(O159:O160)+#REF!</f>
        <v>#REF!</v>
      </c>
      <c r="P158" s="10">
        <f>+P159</f>
        <v>0</v>
      </c>
      <c r="Q158" s="10">
        <f>+Q159</f>
        <v>861407.41</v>
      </c>
      <c r="R158" s="10">
        <f>+R159</f>
        <v>2774428.71</v>
      </c>
      <c r="S158" s="11">
        <f>SUM(S159:S165)</f>
        <v>378912756.31000006</v>
      </c>
      <c r="T158" s="12">
        <f>+S158/C158</f>
        <v>0.15599012163429893</v>
      </c>
      <c r="U158" s="13">
        <f>+C158-S158</f>
        <v>2050168985.1500001</v>
      </c>
      <c r="V158" s="14">
        <f>+U158/C158</f>
        <v>0.84400987836570107</v>
      </c>
      <c r="W158" s="96">
        <f>+W159+W160+W164+W165</f>
        <v>1002556420.3099999</v>
      </c>
      <c r="X158" s="97">
        <f>+W158/C158</f>
        <v>0.41273062293383889</v>
      </c>
    </row>
    <row r="159" spans="1:32" s="44" customFormat="1">
      <c r="A159" s="168" t="s">
        <v>296</v>
      </c>
      <c r="B159" s="169" t="s">
        <v>297</v>
      </c>
      <c r="C159" s="167">
        <v>1000000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83">
        <v>0</v>
      </c>
      <c r="Q159" s="83">
        <v>861407.41</v>
      </c>
      <c r="R159" s="83">
        <v>2774428.71</v>
      </c>
      <c r="S159" s="18">
        <f t="shared" si="104"/>
        <v>861407.41</v>
      </c>
      <c r="T159" s="19"/>
      <c r="U159" s="16"/>
      <c r="V159" s="16"/>
      <c r="W159" s="18"/>
      <c r="X159" s="19"/>
    </row>
    <row r="160" spans="1:32" s="50" customFormat="1" ht="15.75">
      <c r="A160" s="88" t="s">
        <v>173</v>
      </c>
      <c r="B160" s="46"/>
      <c r="C160" s="47">
        <f t="shared" ref="C160:O160" si="106">+C150+C146+C137+C127+C115+C104+C99+C96+C91+C75+C62+C52+C50+C47+C42+C39+C36+C29+C15+C86</f>
        <v>1190674761.73</v>
      </c>
      <c r="D160" s="47">
        <f t="shared" si="106"/>
        <v>92008064.87666668</v>
      </c>
      <c r="E160" s="47">
        <f t="shared" si="106"/>
        <v>88549347.230000004</v>
      </c>
      <c r="F160" s="47">
        <f t="shared" si="106"/>
        <v>64182566.920000002</v>
      </c>
      <c r="G160" s="47">
        <f t="shared" si="106"/>
        <v>63921200.850000001</v>
      </c>
      <c r="H160" s="47">
        <f t="shared" si="106"/>
        <v>62778692.93</v>
      </c>
      <c r="I160" s="47">
        <f t="shared" si="106"/>
        <v>65735267.380000003</v>
      </c>
      <c r="J160" s="47">
        <f t="shared" si="106"/>
        <v>63600555.68</v>
      </c>
      <c r="K160" s="47">
        <f t="shared" si="106"/>
        <v>64785128.569999993</v>
      </c>
      <c r="L160" s="47">
        <f t="shared" si="106"/>
        <v>72498472.659999996</v>
      </c>
      <c r="M160" s="47">
        <f t="shared" si="106"/>
        <v>69473625.799999997</v>
      </c>
      <c r="N160" s="47">
        <f t="shared" si="106"/>
        <v>66735290.329999991</v>
      </c>
      <c r="O160" s="47" t="e">
        <f t="shared" si="106"/>
        <v>#REF!</v>
      </c>
      <c r="P160" s="47">
        <f>+P15+P29+P36+P39+P42+P47+P50+P52+P62+P75+P86+P91+P96+P99+P104+P115+P127+P137+P146+P150</f>
        <v>96657714.61999999</v>
      </c>
      <c r="Q160" s="47">
        <f>+Q15+Q29+Q36+Q39+Q42+Q47+Q50+Q52+Q62+Q75+Q86+Q91+Q96+Q99+Q104+Q115+Q127+Q137+Q146+Q150+Q158</f>
        <v>90017555.939999998</v>
      </c>
      <c r="R160" s="47">
        <f>+R15+R29+R36+R39+R42+R47+R50+R52+R62+R75+R86+R91+R96+R99+R104+R115+R127+R137+R146+R150+R158</f>
        <v>104202290.02999999</v>
      </c>
      <c r="S160" s="47">
        <f>+S15+S29+S36+S39+S42+S47+S50+S52+S62+S75+S86+S91+S96+S99+S104+S115+S127+S137+S146+S150</f>
        <v>185275674.45000002</v>
      </c>
      <c r="T160" s="48">
        <f>+S160/C160</f>
        <v>0.15560561154483724</v>
      </c>
      <c r="U160" s="47">
        <f>+U150+U146+U137+U127+U115+U104+U99+U96+U91+U75+U62+U52+U50+U47+U42+U39+U36+U29+U15+U86</f>
        <v>906960387.27999997</v>
      </c>
      <c r="V160" s="49">
        <f>+U160/C160</f>
        <v>0.76171967058596668</v>
      </c>
      <c r="W160" s="47">
        <f>+W15+W29+W36+W39+W42+W47+W50+W52+W62+W75+W86+W91+W96+W99+W104+W115+W127+W137+W146+W150</f>
        <v>1000056420.3099999</v>
      </c>
      <c r="X160" s="98">
        <f>+W160/C160</f>
        <v>0.83990729664661767</v>
      </c>
    </row>
    <row r="161" spans="1:24">
      <c r="A161" s="40" t="s">
        <v>174</v>
      </c>
      <c r="B161" s="51" t="s">
        <v>175</v>
      </c>
      <c r="C161" s="178">
        <v>18366109</v>
      </c>
      <c r="D161" s="82">
        <f t="shared" ref="D161" si="107">+C161/12</f>
        <v>1530509.0833333333</v>
      </c>
      <c r="E161" s="52">
        <v>18194.490000000002</v>
      </c>
      <c r="F161" s="52"/>
      <c r="G161" s="52">
        <v>11363.05</v>
      </c>
      <c r="H161" s="52"/>
      <c r="I161" s="52">
        <v>10795.98</v>
      </c>
      <c r="J161" s="52">
        <f>+C161/2+6958.49</f>
        <v>9190012.9900000002</v>
      </c>
      <c r="K161" s="52"/>
      <c r="L161" s="52">
        <v>17118.47</v>
      </c>
      <c r="M161" s="52">
        <v>16575.29</v>
      </c>
      <c r="N161" s="52"/>
      <c r="O161" s="52">
        <v>11789.53</v>
      </c>
      <c r="P161" s="52">
        <v>0</v>
      </c>
      <c r="Q161" s="52">
        <v>0</v>
      </c>
      <c r="R161" s="52">
        <v>0</v>
      </c>
      <c r="S161" s="26">
        <f>+P161</f>
        <v>0</v>
      </c>
      <c r="T161" s="19">
        <f>+S161/C161</f>
        <v>0</v>
      </c>
      <c r="U161" s="20">
        <f>+C161-S161</f>
        <v>18366109</v>
      </c>
      <c r="V161" s="21">
        <f>+U161/C161</f>
        <v>1</v>
      </c>
      <c r="W161" s="18">
        <f>+C161-S161</f>
        <v>18366109</v>
      </c>
      <c r="X161" s="19">
        <f>+W161/C161</f>
        <v>1</v>
      </c>
    </row>
    <row r="162" spans="1:24">
      <c r="A162" s="93"/>
      <c r="B162" s="53" t="s">
        <v>176</v>
      </c>
      <c r="C162" s="54">
        <f>+C160+C161</f>
        <v>1209040870.73</v>
      </c>
      <c r="D162" s="54">
        <f>+D160+D161</f>
        <v>93538573.960000008</v>
      </c>
      <c r="E162" s="55" t="e">
        <f>+E160+#REF!+E161</f>
        <v>#REF!</v>
      </c>
      <c r="F162" s="55" t="e">
        <f>+F160+#REF!</f>
        <v>#REF!</v>
      </c>
      <c r="G162" s="55" t="e">
        <f>+G160+#REF!+G161</f>
        <v>#REF!</v>
      </c>
      <c r="H162" s="55" t="e">
        <f>+H160+#REF!</f>
        <v>#REF!</v>
      </c>
      <c r="I162" s="55" t="e">
        <f>+I160+#REF!+I161</f>
        <v>#REF!</v>
      </c>
      <c r="J162" s="55" t="e">
        <f>+J160+#REF!+J161</f>
        <v>#REF!</v>
      </c>
      <c r="K162" s="55" t="e">
        <f>+K160+#REF!+K161</f>
        <v>#REF!</v>
      </c>
      <c r="L162" s="55">
        <f>+L160+L161</f>
        <v>72515591.129999995</v>
      </c>
      <c r="M162" s="55" t="e">
        <f>+M160+M161+#REF!</f>
        <v>#REF!</v>
      </c>
      <c r="N162" s="55" t="e">
        <f>+N160+#REF!+N161</f>
        <v>#REF!</v>
      </c>
      <c r="O162" s="55" t="e">
        <f>+O160+#REF!+O161</f>
        <v>#REF!</v>
      </c>
      <c r="P162" s="55">
        <f>+P160+P161</f>
        <v>96657714.61999999</v>
      </c>
      <c r="Q162" s="55">
        <f>+Q160+Q161</f>
        <v>90017555.939999998</v>
      </c>
      <c r="R162" s="55">
        <f>+R160+R161</f>
        <v>104202290.02999999</v>
      </c>
      <c r="S162" s="55">
        <f>+S160+S161</f>
        <v>185275674.45000002</v>
      </c>
      <c r="T162" s="12">
        <f>+S162/C162</f>
        <v>0.15324186215320698</v>
      </c>
      <c r="U162" s="56" t="e">
        <f>+U160+#REF!+U161</f>
        <v>#REF!</v>
      </c>
      <c r="V162" s="14" t="e">
        <f>+U162/C162</f>
        <v>#REF!</v>
      </c>
      <c r="W162" s="55">
        <f>+W160+W161</f>
        <v>1018422529.3099999</v>
      </c>
      <c r="X162" s="99">
        <f>+W162/C162</f>
        <v>0.8423392078508416</v>
      </c>
    </row>
    <row r="163" spans="1:24">
      <c r="A163" s="58"/>
      <c r="B163" s="58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60"/>
      <c r="W163" s="59"/>
      <c r="X163" s="59"/>
    </row>
    <row r="164" spans="1:24">
      <c r="A164" s="40" t="s">
        <v>245</v>
      </c>
      <c r="B164" s="51" t="s">
        <v>280</v>
      </c>
      <c r="C164" s="178">
        <v>10000000</v>
      </c>
      <c r="D164" s="82">
        <f t="shared" ref="D164" si="108">+C164/12</f>
        <v>833333.33333333337</v>
      </c>
      <c r="E164" s="52">
        <v>18194.490000000002</v>
      </c>
      <c r="F164" s="52"/>
      <c r="G164" s="52">
        <v>11363.05</v>
      </c>
      <c r="H164" s="52"/>
      <c r="I164" s="52">
        <v>10795.98</v>
      </c>
      <c r="J164" s="52">
        <f>+C164/2+6958.49</f>
        <v>5006958.49</v>
      </c>
      <c r="K164" s="52"/>
      <c r="L164" s="52">
        <v>17118.47</v>
      </c>
      <c r="M164" s="52">
        <v>16575.29</v>
      </c>
      <c r="N164" s="52"/>
      <c r="O164" s="52">
        <v>11789.53</v>
      </c>
      <c r="P164" s="52">
        <v>7500000</v>
      </c>
      <c r="Q164" s="52">
        <v>2100000</v>
      </c>
      <c r="R164" s="85">
        <v>300000</v>
      </c>
      <c r="S164" s="26">
        <f>+P164</f>
        <v>7500000</v>
      </c>
      <c r="T164" s="19">
        <f>+S164/C164</f>
        <v>0.75</v>
      </c>
      <c r="U164" s="20">
        <f>+C164-S164</f>
        <v>2500000</v>
      </c>
      <c r="V164" s="21">
        <f>+U164/C164</f>
        <v>0.25</v>
      </c>
      <c r="W164" s="96">
        <f>+C164-S164</f>
        <v>2500000</v>
      </c>
      <c r="X164" s="97">
        <f>+W164/C164</f>
        <v>0.25</v>
      </c>
    </row>
    <row r="165" spans="1:24">
      <c r="A165" s="58"/>
      <c r="B165" s="58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101"/>
      <c r="T165" s="59"/>
      <c r="U165" s="59"/>
      <c r="V165" s="60"/>
      <c r="W165" s="59"/>
      <c r="X165" s="59"/>
    </row>
    <row r="166" spans="1:24">
      <c r="A166" s="58"/>
      <c r="B166" s="58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60"/>
      <c r="W166" s="59"/>
      <c r="X166" s="59"/>
    </row>
    <row r="167" spans="1:24">
      <c r="A167" s="58"/>
      <c r="B167" s="58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162"/>
      <c r="S167" s="59"/>
      <c r="T167" s="59"/>
      <c r="U167" s="59"/>
      <c r="V167" s="60"/>
      <c r="W167" s="59"/>
      <c r="X167" s="59"/>
    </row>
    <row r="168" spans="1:24">
      <c r="A168" s="58"/>
      <c r="B168" s="58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60"/>
      <c r="W168" s="59"/>
      <c r="X168" s="59"/>
    </row>
    <row r="169" spans="1:24" ht="18">
      <c r="A169" s="61"/>
      <c r="B169" s="62"/>
      <c r="C169" s="62"/>
      <c r="D169" s="63"/>
      <c r="E169" s="64"/>
      <c r="F169" s="65"/>
      <c r="G169" s="65"/>
      <c r="H169" s="65"/>
      <c r="I169" s="65"/>
      <c r="J169" s="189"/>
      <c r="K169" s="184"/>
      <c r="L169" s="184"/>
      <c r="M169" s="184"/>
      <c r="N169" s="57"/>
      <c r="O169" s="57"/>
      <c r="P169" s="57"/>
      <c r="Q169" s="57"/>
      <c r="R169" s="57"/>
      <c r="S169" s="66"/>
      <c r="T169" s="66"/>
      <c r="W169" s="66"/>
    </row>
    <row r="170" spans="1:24" ht="15.75">
      <c r="A170" s="184" t="s">
        <v>251</v>
      </c>
      <c r="B170" s="184"/>
      <c r="C170" s="184"/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</row>
    <row r="171" spans="1:24">
      <c r="A171" s="185" t="s">
        <v>252</v>
      </c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</row>
    <row r="172" spans="1:24">
      <c r="A172" s="185" t="s">
        <v>253</v>
      </c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</row>
    <row r="173" spans="1:24" s="58" customFormat="1">
      <c r="J173" s="66"/>
      <c r="K173" s="67">
        <v>96933866.989999995</v>
      </c>
      <c r="L173" s="66">
        <v>76141518.280000001</v>
      </c>
      <c r="M173" s="66">
        <v>73127007.900000006</v>
      </c>
      <c r="N173" s="66"/>
      <c r="O173" s="66">
        <f>+O171-O172</f>
        <v>0</v>
      </c>
      <c r="S173" s="66"/>
      <c r="W173" s="66"/>
    </row>
    <row r="174" spans="1:24" s="58" customFormat="1">
      <c r="C174" s="66"/>
      <c r="G174" s="66"/>
      <c r="H174" s="66"/>
      <c r="J174" s="66"/>
      <c r="K174" s="66">
        <f>+K172-K173</f>
        <v>-96933866.989999995</v>
      </c>
      <c r="L174" s="66">
        <f>+L173-L172</f>
        <v>76141518.280000001</v>
      </c>
      <c r="M174" s="66">
        <f>+M172-M173</f>
        <v>-73127007.900000006</v>
      </c>
      <c r="N174" s="66"/>
      <c r="P174" s="66"/>
      <c r="Q174" s="66"/>
      <c r="R174" s="66"/>
    </row>
    <row r="175" spans="1:24" s="58" customFormat="1">
      <c r="C175" s="66"/>
      <c r="H175" s="66">
        <v>442308.16</v>
      </c>
      <c r="L175" s="66"/>
      <c r="P175" s="66"/>
      <c r="Q175" s="66"/>
      <c r="R175" s="66"/>
    </row>
    <row r="176" spans="1:24" s="58" customFormat="1">
      <c r="H176" s="66" t="e">
        <f>+H175+H162</f>
        <v>#REF!</v>
      </c>
      <c r="I176" s="66"/>
      <c r="P176" s="66"/>
      <c r="Q176" s="66"/>
      <c r="R176" s="66"/>
    </row>
    <row r="177" spans="3:24" s="58" customFormat="1">
      <c r="H177" s="66" t="e">
        <f>+H176-64056504.95</f>
        <v>#REF!</v>
      </c>
    </row>
    <row r="178" spans="3:24" s="58" customFormat="1"/>
    <row r="179" spans="3:24" s="58" customFormat="1"/>
    <row r="180" spans="3:24" s="58" customFormat="1"/>
    <row r="181" spans="3:24" s="58" customFormat="1"/>
    <row r="182" spans="3:24" s="58" customFormat="1"/>
    <row r="183" spans="3:24" s="58" customFormat="1"/>
    <row r="184" spans="3:24" s="58" customFormat="1"/>
    <row r="185" spans="3:24" s="58" customFormat="1"/>
    <row r="186" spans="3:24" s="58" customFormat="1"/>
    <row r="187" spans="3:24" s="58" customFormat="1"/>
    <row r="188" spans="3:24" s="58" customFormat="1"/>
    <row r="189" spans="3:24" s="58" customFormat="1"/>
    <row r="190" spans="3:24">
      <c r="C190" s="58"/>
      <c r="D190" s="58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W190" s="4"/>
      <c r="X190" s="4"/>
    </row>
    <row r="191" spans="3:24">
      <c r="C191" s="58"/>
      <c r="D191" s="58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W191" s="4"/>
      <c r="X191" s="4"/>
    </row>
    <row r="192" spans="3:24">
      <c r="C192" s="58"/>
      <c r="D192" s="58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W192" s="4"/>
      <c r="X192" s="4"/>
    </row>
  </sheetData>
  <mergeCells count="12">
    <mergeCell ref="A170:X170"/>
    <mergeCell ref="A171:X171"/>
    <mergeCell ref="A172:X172"/>
    <mergeCell ref="P13:R13"/>
    <mergeCell ref="A9:X9"/>
    <mergeCell ref="J169:M169"/>
    <mergeCell ref="A8:X8"/>
    <mergeCell ref="B2:B3"/>
    <mergeCell ref="A4:X4"/>
    <mergeCell ref="A5:X5"/>
    <mergeCell ref="A6:X6"/>
    <mergeCell ref="A7:X7"/>
  </mergeCells>
  <pageMargins left="0.17" right="0.15748031496062992" top="0.31496062992125984" bottom="0.35433070866141736" header="0.74803149606299213" footer="0.15748031496062992"/>
  <pageSetup paperSize="5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2019</vt:lpstr>
      <vt:lpstr>FEBRERO 2019</vt:lpstr>
      <vt:lpstr>MARZO 2019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kenya.mercedes</dc:creator>
  <cp:lastModifiedBy>ana.morel</cp:lastModifiedBy>
  <cp:lastPrinted>2019-04-05T23:33:49Z</cp:lastPrinted>
  <dcterms:created xsi:type="dcterms:W3CDTF">2019-01-09T20:58:22Z</dcterms:created>
  <dcterms:modified xsi:type="dcterms:W3CDTF">2019-04-10T15:16:25Z</dcterms:modified>
</cp:coreProperties>
</file>