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3"/>
  <c r="I35"/>
  <c r="I25"/>
  <c r="I15"/>
  <c r="I9"/>
  <c r="I10"/>
  <c r="I70"/>
  <c r="I69" s="1"/>
  <c r="I66"/>
  <c r="I61"/>
  <c r="I43"/>
  <c r="I14"/>
  <c r="I12"/>
  <c r="I11"/>
  <c r="H61"/>
  <c r="H51"/>
  <c r="H35"/>
  <c r="H25"/>
  <c r="H15"/>
  <c r="H9"/>
  <c r="H43"/>
  <c r="G43"/>
  <c r="F43"/>
  <c r="E43"/>
  <c r="H14"/>
  <c r="H11"/>
  <c r="F84"/>
  <c r="G36"/>
  <c r="G35" s="1"/>
  <c r="G51"/>
  <c r="G25"/>
  <c r="G15"/>
  <c r="G9"/>
  <c r="G69"/>
  <c r="G66"/>
  <c r="G61"/>
  <c r="G52"/>
  <c r="G39"/>
  <c r="G34"/>
  <c r="G32"/>
  <c r="G31"/>
  <c r="G30"/>
  <c r="G28"/>
  <c r="G27"/>
  <c r="G26"/>
  <c r="G22"/>
  <c r="G20"/>
  <c r="G19"/>
  <c r="G18"/>
  <c r="G17"/>
  <c r="G16"/>
  <c r="G14"/>
  <c r="G12"/>
  <c r="G11"/>
  <c r="G10"/>
  <c r="B61"/>
  <c r="F35"/>
  <c r="F25"/>
  <c r="F15"/>
  <c r="F9"/>
  <c r="F14"/>
  <c r="F10"/>
  <c r="F22"/>
  <c r="F19"/>
  <c r="F16"/>
  <c r="F11"/>
  <c r="B10" l="1"/>
  <c r="G73"/>
  <c r="G86"/>
  <c r="B83"/>
  <c r="B82"/>
  <c r="B81"/>
  <c r="B80"/>
  <c r="B79"/>
  <c r="B76"/>
  <c r="B78"/>
  <c r="B77"/>
  <c r="B72"/>
  <c r="B71"/>
  <c r="B70"/>
  <c r="B69"/>
  <c r="B68"/>
  <c r="B67"/>
  <c r="B66"/>
  <c r="B65"/>
  <c r="B64"/>
  <c r="B63"/>
  <c r="B62"/>
  <c r="B60"/>
  <c r="B59"/>
  <c r="B58"/>
  <c r="B57"/>
  <c r="B56"/>
  <c r="B55"/>
  <c r="B54"/>
  <c r="B53"/>
  <c r="B52"/>
  <c r="B50"/>
  <c r="B49"/>
  <c r="B48"/>
  <c r="B47"/>
  <c r="B46"/>
  <c r="B45"/>
  <c r="B44"/>
  <c r="B43"/>
  <c r="B42"/>
  <c r="B41"/>
  <c r="B39"/>
  <c r="B38"/>
  <c r="B37"/>
  <c r="B36"/>
  <c r="B34"/>
  <c r="B33"/>
  <c r="B32"/>
  <c r="B31"/>
  <c r="B30"/>
  <c r="B29"/>
  <c r="B28"/>
  <c r="B27"/>
  <c r="B26"/>
  <c r="B24"/>
  <c r="B23"/>
  <c r="B22"/>
  <c r="B21"/>
  <c r="B20"/>
  <c r="B19"/>
  <c r="B18"/>
  <c r="B17"/>
  <c r="B16"/>
  <c r="B14"/>
  <c r="B13"/>
  <c r="B12"/>
  <c r="B11"/>
  <c r="B86"/>
  <c r="E51"/>
  <c r="E35"/>
  <c r="E9"/>
  <c r="E36"/>
  <c r="E84"/>
  <c r="D84"/>
  <c r="C84"/>
  <c r="E25"/>
  <c r="E76"/>
  <c r="D76"/>
  <c r="C76"/>
  <c r="E61"/>
  <c r="D61"/>
  <c r="D51"/>
  <c r="D25"/>
  <c r="D15"/>
  <c r="D9"/>
  <c r="D73" s="1"/>
  <c r="D35" l="1"/>
  <c r="D43" l="1"/>
  <c r="C43"/>
  <c r="D86" l="1"/>
  <c r="C9"/>
  <c r="M51" l="1"/>
  <c r="N51"/>
  <c r="M35"/>
  <c r="N35"/>
  <c r="N15"/>
  <c r="M25"/>
  <c r="N25"/>
  <c r="M15"/>
  <c r="N9"/>
  <c r="M9"/>
  <c r="L51"/>
  <c r="L35"/>
  <c r="L25"/>
  <c r="K15"/>
  <c r="L15"/>
  <c r="L9"/>
  <c r="K9"/>
  <c r="B84" l="1"/>
  <c r="M73"/>
  <c r="M86" s="1"/>
  <c r="L73"/>
  <c r="L86" s="1"/>
  <c r="N73"/>
  <c r="N86" s="1"/>
  <c r="K51"/>
  <c r="K35"/>
  <c r="K25"/>
  <c r="J9"/>
  <c r="J25"/>
  <c r="J51"/>
  <c r="J35"/>
  <c r="J15"/>
  <c r="B9"/>
  <c r="I51"/>
  <c r="B51" s="1"/>
  <c r="B35"/>
  <c r="B25"/>
  <c r="E15"/>
  <c r="C15"/>
  <c r="C51"/>
  <c r="F51"/>
  <c r="C35"/>
  <c r="E73"/>
  <c r="E86" s="1"/>
  <c r="C25"/>
  <c r="B85"/>
  <c r="B15" l="1"/>
  <c r="I73"/>
  <c r="I86" s="1"/>
  <c r="H73"/>
  <c r="H86" s="1"/>
  <c r="J73"/>
  <c r="J86" s="1"/>
  <c r="F73"/>
  <c r="C73"/>
  <c r="C86" s="1"/>
  <c r="K73"/>
  <c r="K86" s="1"/>
  <c r="U8"/>
  <c r="V8" s="1"/>
  <c r="W8" s="1"/>
  <c r="X8" s="1"/>
  <c r="Y8" s="1"/>
  <c r="AA8" s="1"/>
  <c r="T8"/>
  <c r="F86" l="1"/>
  <c r="B73"/>
  <c r="Z7"/>
  <c r="AA7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<sst xmlns="http://schemas.openxmlformats.org/spreadsheetml/2006/main" count="104" uniqueCount="104">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</sst>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3" fontId="1" fillId="0" borderId="0" xfId="1" applyFont="1" applyAlignment="1">
      <alignment vertical="center"/>
    </xf>
    <xf numFmtId="43" fontId="7" fillId="0" borderId="0" xfId="1" applyFont="1" applyAlignment="1">
      <alignment vertical="center"/>
    </xf>
    <xf numFmtId="43" fontId="4" fillId="0" borderId="0" xfId="1" applyFont="1"/>
    <xf numFmtId="43" fontId="5" fillId="4" borderId="0" xfId="1" applyFont="1" applyFill="1" applyBorder="1" applyAlignment="1">
      <alignment vertical="center"/>
    </xf>
    <xf numFmtId="43" fontId="6" fillId="4" borderId="0" xfId="1" applyFont="1" applyFill="1" applyBorder="1"/>
    <xf numFmtId="43" fontId="5" fillId="4" borderId="0" xfId="1" applyFont="1" applyFill="1" applyBorder="1"/>
    <xf numFmtId="43" fontId="4" fillId="0" borderId="0" xfId="1"/>
    <xf numFmtId="43" fontId="4" fillId="0" borderId="0" xfId="1" applyBorder="1"/>
    <xf numFmtId="43" fontId="6" fillId="0" borderId="0" xfId="1" applyFont="1" applyFill="1" applyBorder="1"/>
    <xf numFmtId="43" fontId="4" fillId="0" borderId="0" xfId="1" applyFont="1" applyFill="1" applyBorder="1"/>
    <xf numFmtId="43" fontId="4" fillId="0" borderId="0" xfId="1" applyFill="1" applyBorder="1"/>
    <xf numFmtId="43" fontId="4" fillId="0" borderId="0" xfId="1" applyFont="1" applyFill="1"/>
    <xf numFmtId="43" fontId="1" fillId="3" borderId="2" xfId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43" fontId="1" fillId="2" borderId="4" xfId="1" applyFont="1" applyFill="1" applyBorder="1" applyAlignment="1">
      <alignment horizontal="center" vertical="center" wrapText="1"/>
    </xf>
    <xf numFmtId="43" fontId="1" fillId="2" borderId="5" xfId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43" fontId="1" fillId="5" borderId="0" xfId="1" applyFont="1" applyFill="1" applyBorder="1"/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3" fontId="4" fillId="0" borderId="0" xfId="1" applyFont="1" applyBorder="1"/>
    <xf numFmtId="43" fontId="0" fillId="0" borderId="0" xfId="1" applyFont="1" applyBorder="1"/>
    <xf numFmtId="0" fontId="1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vertical="center" wrapText="1"/>
    </xf>
    <xf numFmtId="43" fontId="1" fillId="4" borderId="0" xfId="1" applyFont="1" applyFill="1" applyBorder="1"/>
    <xf numFmtId="0" fontId="0" fillId="0" borderId="0" xfId="0" applyBorder="1" applyAlignment="1">
      <alignment horizontal="left" vertical="center" wrapText="1" indent="2"/>
    </xf>
    <xf numFmtId="43" fontId="5" fillId="5" borderId="4" xfId="1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30923</xdr:colOff>
      <xdr:row>1</xdr:row>
      <xdr:rowOff>1823</xdr:rowOff>
    </xdr:from>
    <xdr:to>
      <xdr:col>11</xdr:col>
      <xdr:colOff>874059</xdr:colOff>
      <xdr:row>4</xdr:row>
      <xdr:rowOff>172</xdr:rowOff>
    </xdr:to>
    <xdr:sp macro="" textlink="">
      <xdr:nvSpPr>
        <xdr:cNvPr id="2" name="Rectangle 1"/>
        <xdr:cNvSpPr/>
      </xdr:nvSpPr>
      <xdr:spPr>
        <a:xfrm>
          <a:off x="11797099" y="237147"/>
          <a:ext cx="843136" cy="67070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10</xdr:col>
      <xdr:colOff>844923</xdr:colOff>
      <xdr:row>0</xdr:row>
      <xdr:rowOff>51548</xdr:rowOff>
    </xdr:from>
    <xdr:to>
      <xdr:col>12</xdr:col>
      <xdr:colOff>66115</xdr:colOff>
      <xdr:row>4</xdr:row>
      <xdr:rowOff>84604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3276" y="51548"/>
          <a:ext cx="1014133" cy="97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6"/>
  <sheetViews>
    <sheetView showGridLines="0" tabSelected="1" zoomScale="85" zoomScaleNormal="85" workbookViewId="0">
      <selection activeCell="I73" sqref="I73"/>
    </sheetView>
  </sheetViews>
  <sheetFormatPr baseColWidth="10" defaultColWidth="9.140625" defaultRowHeight="15"/>
  <cols>
    <col min="1" max="1" width="31.140625" customWidth="1"/>
    <col min="2" max="2" width="15.28515625" bestFit="1" customWidth="1"/>
    <col min="3" max="4" width="14.28515625" bestFit="1" customWidth="1"/>
    <col min="5" max="5" width="14.7109375" customWidth="1"/>
    <col min="6" max="6" width="14.28515625" bestFit="1" customWidth="1"/>
    <col min="7" max="9" width="14.7109375" bestFit="1" customWidth="1"/>
    <col min="10" max="12" width="13.42578125" bestFit="1" customWidth="1"/>
    <col min="13" max="13" width="12.140625" bestFit="1" customWidth="1"/>
    <col min="14" max="14" width="15.57031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41" t="s">
        <v>102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P1" s="4" t="s">
        <v>91</v>
      </c>
    </row>
    <row r="2" spans="1:27" ht="18.75">
      <c r="A2" s="41" t="s">
        <v>103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P2" s="8" t="s">
        <v>93</v>
      </c>
    </row>
    <row r="3" spans="1:27" ht="18.75">
      <c r="A3" s="41">
        <v>2019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P3" s="8" t="s">
        <v>94</v>
      </c>
    </row>
    <row r="4" spans="1:27" ht="18.75">
      <c r="A4" s="41" t="s">
        <v>100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P4" s="8" t="s">
        <v>92</v>
      </c>
    </row>
    <row r="5" spans="1:27" ht="18.75">
      <c r="A5" s="42" t="s">
        <v>36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P5" s="8" t="s">
        <v>95</v>
      </c>
    </row>
    <row r="6" spans="1:27" ht="6" customHeight="1">
      <c r="P6" s="8" t="s">
        <v>96</v>
      </c>
    </row>
    <row r="7" spans="1:27" ht="15.75">
      <c r="A7" s="6" t="s">
        <v>0</v>
      </c>
      <c r="B7" s="7" t="s">
        <v>101</v>
      </c>
      <c r="C7" s="7" t="s">
        <v>79</v>
      </c>
      <c r="D7" s="7" t="s">
        <v>80</v>
      </c>
      <c r="E7" s="7" t="s">
        <v>81</v>
      </c>
      <c r="F7" s="7" t="s">
        <v>82</v>
      </c>
      <c r="G7" s="7" t="s">
        <v>83</v>
      </c>
      <c r="H7" s="7" t="s">
        <v>84</v>
      </c>
      <c r="I7" s="7" t="s">
        <v>85</v>
      </c>
      <c r="J7" s="7" t="s">
        <v>86</v>
      </c>
      <c r="K7" s="7" t="s">
        <v>87</v>
      </c>
      <c r="L7" s="7" t="s">
        <v>88</v>
      </c>
      <c r="M7" s="7" t="s">
        <v>89</v>
      </c>
      <c r="N7" s="7" t="s">
        <v>90</v>
      </c>
      <c r="Z7" s="13">
        <f>SUM(R8:Z8)</f>
        <v>11.029108875781253</v>
      </c>
      <c r="AA7" s="13">
        <f>+Z7+AA8</f>
        <v>13.989108875781252</v>
      </c>
    </row>
    <row r="8" spans="1:27">
      <c r="A8" s="1" t="s">
        <v>1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R8" s="10">
        <v>1</v>
      </c>
      <c r="S8" s="10">
        <v>1.05</v>
      </c>
      <c r="T8" s="10">
        <f>+S8*1.05</f>
        <v>1.1025</v>
      </c>
      <c r="U8" s="10">
        <f t="shared" ref="U8:Y8" si="0">+T8*1.05</f>
        <v>1.1576250000000001</v>
      </c>
      <c r="V8" s="10">
        <f t="shared" si="0"/>
        <v>1.2155062500000002</v>
      </c>
      <c r="W8" s="10">
        <f t="shared" si="0"/>
        <v>1.2762815625000004</v>
      </c>
      <c r="X8" s="10">
        <f t="shared" si="0"/>
        <v>1.3400956406250004</v>
      </c>
      <c r="Y8" s="10">
        <f t="shared" si="0"/>
        <v>1.4071004226562505</v>
      </c>
      <c r="Z8" s="10">
        <v>1.48</v>
      </c>
      <c r="AA8" s="10">
        <f>+Z8*2</f>
        <v>2.96</v>
      </c>
    </row>
    <row r="9" spans="1:27" ht="30">
      <c r="A9" s="2" t="s">
        <v>2</v>
      </c>
      <c r="B9" s="14">
        <f>SUM(C9:N9)</f>
        <v>557387958.38999999</v>
      </c>
      <c r="C9" s="17">
        <f t="shared" ref="C9:N9" si="1">+C10+C11+C12+C13+C14</f>
        <v>82720919.760000005</v>
      </c>
      <c r="D9" s="17">
        <f>SUM(D10:D14)</f>
        <v>78068897.270000011</v>
      </c>
      <c r="E9" s="17">
        <f>+E10+E11+E12+E13+E14</f>
        <v>80058905.629999995</v>
      </c>
      <c r="F9" s="17">
        <f>+F10+F11+F12+F13+F14</f>
        <v>77508965.929999992</v>
      </c>
      <c r="G9" s="17">
        <f>+G10+G11+G12+G13+G14</f>
        <v>70425387.089999989</v>
      </c>
      <c r="H9" s="17">
        <f>+H10+H11+H12+H13+H14</f>
        <v>83745271.63000001</v>
      </c>
      <c r="I9" s="17">
        <f>+I10+I11+I12+I14</f>
        <v>84859611.079999998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si="1"/>
        <v>0</v>
      </c>
      <c r="N9" s="17">
        <f t="shared" si="1"/>
        <v>0</v>
      </c>
      <c r="R9" s="12"/>
    </row>
    <row r="10" spans="1:27">
      <c r="A10" s="3" t="s">
        <v>3</v>
      </c>
      <c r="B10" s="16">
        <f>SUM(C10:N10)</f>
        <v>493817341.35000002</v>
      </c>
      <c r="C10" s="18">
        <v>75651289.530000001</v>
      </c>
      <c r="D10" s="18">
        <v>68991547.230000004</v>
      </c>
      <c r="E10" s="18">
        <v>70325775.359999999</v>
      </c>
      <c r="F10" s="18">
        <f>55302744.11+12800000</f>
        <v>68102744.109999999</v>
      </c>
      <c r="G10" s="18">
        <f>55396527.98+3800000+2080000</f>
        <v>61276527.979999997</v>
      </c>
      <c r="H10" s="18">
        <v>74326769.120000005</v>
      </c>
      <c r="I10" s="18">
        <f>58074629.69+3800000+12850000+405000+13058.33</f>
        <v>75142688.019999996</v>
      </c>
      <c r="J10" s="20"/>
      <c r="K10" s="10"/>
      <c r="L10" s="10"/>
      <c r="M10" s="10"/>
      <c r="N10" s="10"/>
    </row>
    <row r="11" spans="1:27">
      <c r="A11" s="3" t="s">
        <v>4</v>
      </c>
      <c r="B11" s="16">
        <f t="shared" ref="B11:B73" si="2">SUM(C11:N11)</f>
        <v>53260117.020000003</v>
      </c>
      <c r="C11" s="18">
        <v>4407851.3099999996</v>
      </c>
      <c r="D11" s="18">
        <v>7876552</v>
      </c>
      <c r="E11" s="18">
        <v>8531137</v>
      </c>
      <c r="F11" s="18">
        <f>1845851+6359000</f>
        <v>8204851</v>
      </c>
      <c r="G11" s="18">
        <f>1537980+45500+6312650</f>
        <v>7896130</v>
      </c>
      <c r="H11" s="18">
        <f>1897194+6123010.51+45500</f>
        <v>8065704.5099999998</v>
      </c>
      <c r="I11" s="18">
        <f>1919741.2+6312650+45500</f>
        <v>8277891.2000000002</v>
      </c>
      <c r="J11" s="20"/>
      <c r="K11" s="10"/>
      <c r="L11" s="10"/>
      <c r="M11" s="10"/>
      <c r="N11" s="10"/>
    </row>
    <row r="12" spans="1:27" ht="30">
      <c r="A12" s="3" t="s">
        <v>37</v>
      </c>
      <c r="B12" s="16">
        <f t="shared" si="2"/>
        <v>364795.91</v>
      </c>
      <c r="C12" s="18">
        <v>37500</v>
      </c>
      <c r="D12" s="18">
        <v>37500</v>
      </c>
      <c r="E12" s="18">
        <v>37500</v>
      </c>
      <c r="F12" s="18">
        <v>37500</v>
      </c>
      <c r="G12" s="18">
        <f>42218.45+46170.85</f>
        <v>88389.299999999988</v>
      </c>
      <c r="H12" s="18">
        <v>37500</v>
      </c>
      <c r="I12" s="18">
        <f>37500+51406.61</f>
        <v>88906.61</v>
      </c>
      <c r="J12" s="21"/>
      <c r="K12" s="10"/>
      <c r="L12" s="22"/>
      <c r="M12" s="10"/>
      <c r="N12" s="10"/>
    </row>
    <row r="13" spans="1:27" ht="30">
      <c r="A13" s="3" t="s">
        <v>5</v>
      </c>
      <c r="B13" s="16">
        <f t="shared" si="2"/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/>
      <c r="I13" s="18">
        <v>0</v>
      </c>
      <c r="J13" s="10"/>
      <c r="K13" s="16"/>
      <c r="L13" s="10"/>
      <c r="M13" s="10"/>
      <c r="N13" s="10"/>
    </row>
    <row r="14" spans="1:27" ht="30">
      <c r="A14" s="3" t="s">
        <v>6</v>
      </c>
      <c r="B14" s="16">
        <f t="shared" si="2"/>
        <v>9945704.1100000013</v>
      </c>
      <c r="C14" s="18">
        <v>2624278.92</v>
      </c>
      <c r="D14" s="18">
        <v>1163298.04</v>
      </c>
      <c r="E14" s="18">
        <v>1164493.27</v>
      </c>
      <c r="F14" s="18">
        <f>1007551.44+156319.38</f>
        <v>1163870.8199999998</v>
      </c>
      <c r="G14" s="18">
        <f>1007818.3+156521.51</f>
        <v>1164339.81</v>
      </c>
      <c r="H14" s="18">
        <f>1138637.03+176660.97</f>
        <v>1315298</v>
      </c>
      <c r="I14" s="18">
        <f>1168786.63+181338.62</f>
        <v>1350125.25</v>
      </c>
      <c r="J14" s="20"/>
      <c r="K14" s="10"/>
      <c r="L14" s="10"/>
      <c r="M14" s="10"/>
      <c r="N14" s="10"/>
    </row>
    <row r="15" spans="1:27" ht="26.25" customHeight="1">
      <c r="A15" s="2" t="s">
        <v>7</v>
      </c>
      <c r="B15" s="14">
        <f>SUM(C15:N15)</f>
        <v>60963294.530000001</v>
      </c>
      <c r="C15" s="17">
        <f>+C16+C17+C18+C19+C20+C21+C22+C23</f>
        <v>6386591.2400000002</v>
      </c>
      <c r="D15" s="17">
        <f>SUM(D16:D24)</f>
        <v>2623939.54</v>
      </c>
      <c r="E15" s="17">
        <f t="shared" ref="E15:N15" si="3">+E16+E17+E18+E19+E20+E21+E22+E23</f>
        <v>7870604.5899999999</v>
      </c>
      <c r="F15" s="17">
        <f>SUM(F16:F24)</f>
        <v>7293283.6799999997</v>
      </c>
      <c r="G15" s="17">
        <f>+G16+G17+G18+G19+G20+G21+G22+G23+G24</f>
        <v>11203825.300000001</v>
      </c>
      <c r="H15" s="17">
        <f>+H16+H17+H18+H19+H20+H21+H22+H23+H24</f>
        <v>10765029.43</v>
      </c>
      <c r="I15" s="17">
        <f>+I16+I17+I18+I19+I20+I21+I22+I23+I24</f>
        <v>14820020.75</v>
      </c>
      <c r="J15" s="17">
        <f t="shared" si="3"/>
        <v>0</v>
      </c>
      <c r="K15" s="17">
        <f t="shared" si="3"/>
        <v>0</v>
      </c>
      <c r="L15" s="17">
        <f t="shared" si="3"/>
        <v>0</v>
      </c>
      <c r="M15" s="17">
        <f t="shared" si="3"/>
        <v>0</v>
      </c>
      <c r="N15" s="17">
        <f t="shared" si="3"/>
        <v>0</v>
      </c>
    </row>
    <row r="16" spans="1:27">
      <c r="A16" s="3" t="s">
        <v>8</v>
      </c>
      <c r="B16" s="16">
        <f t="shared" si="2"/>
        <v>16594548.810000001</v>
      </c>
      <c r="C16" s="18">
        <v>2159972.88</v>
      </c>
      <c r="D16" s="18">
        <v>640390.98</v>
      </c>
      <c r="E16" s="18">
        <v>4652515.5</v>
      </c>
      <c r="F16" s="18">
        <f>1739172.19+436007.69+3491+5820</f>
        <v>2184490.88</v>
      </c>
      <c r="G16" s="18">
        <f>1736312.37+539052.27+4049</f>
        <v>2279413.64</v>
      </c>
      <c r="H16" s="18">
        <v>2328114.87</v>
      </c>
      <c r="I16" s="18">
        <v>2349650.06</v>
      </c>
      <c r="J16" s="20"/>
      <c r="K16" s="10"/>
      <c r="L16" s="10"/>
      <c r="M16" s="10"/>
      <c r="N16" s="10"/>
    </row>
    <row r="17" spans="1:14" ht="45">
      <c r="A17" s="3" t="s">
        <v>9</v>
      </c>
      <c r="B17" s="16">
        <f t="shared" si="2"/>
        <v>1732097.12</v>
      </c>
      <c r="C17" s="18">
        <v>426880.23</v>
      </c>
      <c r="D17" s="18">
        <v>229533.04</v>
      </c>
      <c r="E17" s="18">
        <v>236061.56</v>
      </c>
      <c r="F17" s="18">
        <v>696.2</v>
      </c>
      <c r="G17" s="18">
        <f>377931.12+2122.4</f>
        <v>380053.52</v>
      </c>
      <c r="H17" s="18">
        <v>89.49</v>
      </c>
      <c r="I17" s="18">
        <v>458783.08</v>
      </c>
      <c r="J17" s="20"/>
      <c r="K17" s="10"/>
      <c r="L17" s="10"/>
      <c r="M17" s="10"/>
      <c r="N17" s="10"/>
    </row>
    <row r="18" spans="1:14">
      <c r="A18" s="3" t="s">
        <v>10</v>
      </c>
      <c r="B18" s="16">
        <f t="shared" si="2"/>
        <v>4898744.68</v>
      </c>
      <c r="C18" s="18">
        <v>460509.8</v>
      </c>
      <c r="D18" s="18">
        <v>228943.52</v>
      </c>
      <c r="E18" s="18">
        <v>647884.43999999994</v>
      </c>
      <c r="F18" s="18">
        <v>142231.65</v>
      </c>
      <c r="G18" s="18">
        <f>386993.03+302095.07</f>
        <v>689088.10000000009</v>
      </c>
      <c r="H18" s="18">
        <v>1138596.98</v>
      </c>
      <c r="I18" s="18">
        <v>1591490.19</v>
      </c>
      <c r="J18" s="20"/>
      <c r="K18" s="10"/>
      <c r="L18" s="10"/>
      <c r="M18" s="10"/>
      <c r="N18" s="10"/>
    </row>
    <row r="19" spans="1:14" ht="18" customHeight="1">
      <c r="A19" s="3" t="s">
        <v>11</v>
      </c>
      <c r="B19" s="16">
        <f t="shared" si="2"/>
        <v>837392.55</v>
      </c>
      <c r="C19" s="18">
        <v>38000</v>
      </c>
      <c r="D19" s="18">
        <v>76380</v>
      </c>
      <c r="E19" s="18">
        <v>230020.6</v>
      </c>
      <c r="F19" s="18">
        <f>92387.9+60</f>
        <v>92447.9</v>
      </c>
      <c r="G19" s="18">
        <f>38050+63364.21+225</f>
        <v>101639.20999999999</v>
      </c>
      <c r="H19" s="18">
        <v>292694.84000000003</v>
      </c>
      <c r="I19" s="18">
        <v>6210</v>
      </c>
      <c r="J19" s="20"/>
      <c r="K19" s="10"/>
      <c r="L19" s="10"/>
      <c r="M19" s="10"/>
      <c r="N19" s="10"/>
    </row>
    <row r="20" spans="1:14">
      <c r="A20" s="3" t="s">
        <v>12</v>
      </c>
      <c r="B20" s="16">
        <f t="shared" si="2"/>
        <v>3957633.1700000004</v>
      </c>
      <c r="C20" s="18">
        <v>536582.06000000006</v>
      </c>
      <c r="D20" s="18">
        <v>473805.16</v>
      </c>
      <c r="E20" s="18">
        <v>541796.11</v>
      </c>
      <c r="F20" s="18">
        <v>608126.81000000006</v>
      </c>
      <c r="G20" s="18">
        <f>635144.35+3630.76+11466</f>
        <v>650241.11</v>
      </c>
      <c r="H20" s="18">
        <v>516653.49</v>
      </c>
      <c r="I20" s="18">
        <v>630428.43000000005</v>
      </c>
      <c r="J20" s="20"/>
      <c r="K20" s="10"/>
      <c r="L20" s="10"/>
      <c r="M20" s="10"/>
      <c r="N20" s="10"/>
    </row>
    <row r="21" spans="1:14">
      <c r="A21" s="3" t="s">
        <v>13</v>
      </c>
      <c r="B21" s="16">
        <f t="shared" si="2"/>
        <v>3173487.71</v>
      </c>
      <c r="C21" s="18">
        <v>20646.2</v>
      </c>
      <c r="D21" s="18">
        <v>34926.83</v>
      </c>
      <c r="E21" s="18">
        <v>21140.17</v>
      </c>
      <c r="F21" s="18">
        <v>0</v>
      </c>
      <c r="G21" s="18">
        <v>1623560.67</v>
      </c>
      <c r="H21" s="18">
        <v>1217670.51</v>
      </c>
      <c r="I21" s="18">
        <v>255543.33</v>
      </c>
      <c r="J21" s="20"/>
      <c r="K21" s="10"/>
      <c r="L21" s="10"/>
      <c r="M21" s="10"/>
      <c r="N21" s="10"/>
    </row>
    <row r="22" spans="1:14" ht="60">
      <c r="A22" s="3" t="s">
        <v>14</v>
      </c>
      <c r="B22" s="16">
        <f t="shared" si="2"/>
        <v>5004259.03</v>
      </c>
      <c r="C22" s="18">
        <v>17178.490000000002</v>
      </c>
      <c r="D22" s="18">
        <v>117024.3</v>
      </c>
      <c r="E22" s="18">
        <v>164939.92000000001</v>
      </c>
      <c r="F22" s="18">
        <f>3304+5192+2500.5</f>
        <v>10996.5</v>
      </c>
      <c r="G22" s="18">
        <f>101657+800+7906+715.08+368734.86</f>
        <v>479812.94</v>
      </c>
      <c r="H22" s="18">
        <v>71161.78</v>
      </c>
      <c r="I22" s="18">
        <v>4143145.1</v>
      </c>
      <c r="J22" s="20"/>
      <c r="K22" s="10"/>
      <c r="L22" s="22"/>
      <c r="M22" s="10"/>
      <c r="N22" s="10"/>
    </row>
    <row r="23" spans="1:14" ht="45">
      <c r="A23" s="3" t="s">
        <v>15</v>
      </c>
      <c r="B23" s="16">
        <f t="shared" si="2"/>
        <v>13598111.91</v>
      </c>
      <c r="C23" s="18">
        <v>2726821.58</v>
      </c>
      <c r="D23" s="18">
        <v>822935.71</v>
      </c>
      <c r="E23" s="18">
        <v>1376246.29</v>
      </c>
      <c r="F23" s="18">
        <v>4254293.74</v>
      </c>
      <c r="G23" s="18">
        <v>1341899.25</v>
      </c>
      <c r="H23" s="18">
        <v>1434854.75</v>
      </c>
      <c r="I23" s="18">
        <f>167310.37+450+3327.5+957493.91+13393+499085.81</f>
        <v>1641060.59</v>
      </c>
      <c r="J23" s="20"/>
      <c r="K23" s="10"/>
      <c r="L23" s="10"/>
      <c r="M23" s="10"/>
      <c r="N23" s="10"/>
    </row>
    <row r="24" spans="1:14" ht="45">
      <c r="A24" s="3" t="s">
        <v>38</v>
      </c>
      <c r="B24" s="16">
        <f t="shared" si="2"/>
        <v>11167019.550000001</v>
      </c>
      <c r="C24" s="18"/>
      <c r="D24" s="18">
        <v>0</v>
      </c>
      <c r="E24" s="18"/>
      <c r="F24" s="18">
        <v>0</v>
      </c>
      <c r="G24" s="18">
        <v>3658116.86</v>
      </c>
      <c r="H24" s="18">
        <v>3765192.72</v>
      </c>
      <c r="I24" s="18">
        <v>3743709.97</v>
      </c>
      <c r="J24" s="10"/>
      <c r="K24" s="10"/>
      <c r="L24" s="10"/>
      <c r="M24" s="10"/>
      <c r="N24" s="10"/>
    </row>
    <row r="25" spans="1:14">
      <c r="A25" s="2" t="s">
        <v>16</v>
      </c>
      <c r="B25" s="14">
        <f>SUM(C25:N25)</f>
        <v>48600498.539999999</v>
      </c>
      <c r="C25" s="17">
        <f>+C26+C27+C28+C29+C30+C31+C32+C33+C34</f>
        <v>3303003.33</v>
      </c>
      <c r="D25" s="17">
        <f>SUM(D26:D34)</f>
        <v>3950097.0000000005</v>
      </c>
      <c r="E25" s="17">
        <f t="shared" ref="E25" si="4">+E26+E27+E28+E29+E30+E31+E32+E33+E34</f>
        <v>12519305.140000001</v>
      </c>
      <c r="F25" s="17">
        <f t="shared" ref="F25:L25" si="5">+F26+F27+F28+F29+F30+F31+F32+F33+F34</f>
        <v>4949201.0599999996</v>
      </c>
      <c r="G25" s="17">
        <f t="shared" si="5"/>
        <v>9255233.2400000002</v>
      </c>
      <c r="H25" s="17">
        <f t="shared" si="5"/>
        <v>5991553.1699999999</v>
      </c>
      <c r="I25" s="17">
        <f t="shared" si="5"/>
        <v>8632105.5999999996</v>
      </c>
      <c r="J25" s="17">
        <f t="shared" si="5"/>
        <v>0</v>
      </c>
      <c r="K25" s="17">
        <f t="shared" si="5"/>
        <v>0</v>
      </c>
      <c r="L25" s="17">
        <f t="shared" si="5"/>
        <v>0</v>
      </c>
      <c r="M25" s="17">
        <f t="shared" ref="M25:N25" si="6">+M26+M27+M28+M29+M30+M31+M32+M33+M34</f>
        <v>0</v>
      </c>
      <c r="N25" s="17">
        <f t="shared" si="6"/>
        <v>0</v>
      </c>
    </row>
    <row r="26" spans="1:14" ht="30">
      <c r="A26" s="3" t="s">
        <v>17</v>
      </c>
      <c r="B26" s="16">
        <f t="shared" si="2"/>
        <v>9180833.1100000013</v>
      </c>
      <c r="C26" s="18">
        <v>11070</v>
      </c>
      <c r="D26" s="18">
        <v>3171963.45</v>
      </c>
      <c r="E26" s="18">
        <v>4902463.78</v>
      </c>
      <c r="F26" s="18">
        <v>15346.36</v>
      </c>
      <c r="G26" s="18">
        <f>24490.02+278716+83718.6</f>
        <v>386924.62</v>
      </c>
      <c r="H26" s="18">
        <v>383849.83</v>
      </c>
      <c r="I26" s="18">
        <v>309215.07</v>
      </c>
      <c r="J26" s="20"/>
      <c r="K26" s="10"/>
      <c r="L26" s="10"/>
      <c r="M26" s="10"/>
      <c r="N26" s="10"/>
    </row>
    <row r="27" spans="1:14">
      <c r="A27" s="3" t="s">
        <v>18</v>
      </c>
      <c r="B27" s="16">
        <f t="shared" si="2"/>
        <v>7501882.5099999998</v>
      </c>
      <c r="C27" s="18">
        <v>636174.96</v>
      </c>
      <c r="D27" s="18">
        <v>3871</v>
      </c>
      <c r="E27" s="18">
        <v>4174397.22</v>
      </c>
      <c r="F27" s="18">
        <v>153028.29999999999</v>
      </c>
      <c r="G27" s="18">
        <f>4264+117623</f>
        <v>121887</v>
      </c>
      <c r="H27" s="18">
        <v>78320.399999999994</v>
      </c>
      <c r="I27" s="18">
        <v>2334203.63</v>
      </c>
      <c r="J27" s="23"/>
      <c r="K27" s="10"/>
      <c r="L27" s="10"/>
      <c r="M27" s="10"/>
      <c r="N27" s="10"/>
    </row>
    <row r="28" spans="1:14" ht="30">
      <c r="A28" s="3" t="s">
        <v>19</v>
      </c>
      <c r="B28" s="16">
        <f t="shared" si="2"/>
        <v>1196211.83</v>
      </c>
      <c r="C28" s="18">
        <v>181595.7</v>
      </c>
      <c r="D28" s="18">
        <v>24786.04</v>
      </c>
      <c r="E28" s="18">
        <v>110633.35</v>
      </c>
      <c r="F28" s="18">
        <v>77446.2</v>
      </c>
      <c r="G28" s="18">
        <f>2636.71+67866.48+240491.08</f>
        <v>310994.27</v>
      </c>
      <c r="H28" s="18">
        <v>400236.67</v>
      </c>
      <c r="I28" s="18">
        <v>90519.6</v>
      </c>
      <c r="J28" s="24"/>
      <c r="K28" s="10"/>
      <c r="L28" s="18"/>
      <c r="M28" s="10"/>
      <c r="N28" s="10"/>
    </row>
    <row r="29" spans="1:14" ht="30">
      <c r="A29" s="3" t="s">
        <v>20</v>
      </c>
      <c r="B29" s="16">
        <f t="shared" si="2"/>
        <v>208017.83999999997</v>
      </c>
      <c r="C29" s="18">
        <v>0</v>
      </c>
      <c r="D29" s="18">
        <v>0</v>
      </c>
      <c r="E29" s="18">
        <v>9114</v>
      </c>
      <c r="F29" s="18">
        <v>0</v>
      </c>
      <c r="G29" s="18">
        <v>133426.82999999999</v>
      </c>
      <c r="H29" s="18">
        <v>63992.15</v>
      </c>
      <c r="I29" s="18">
        <v>1484.86</v>
      </c>
      <c r="J29" s="10"/>
      <c r="K29" s="10"/>
      <c r="L29" s="10"/>
      <c r="M29" s="10"/>
      <c r="N29" s="10"/>
    </row>
    <row r="30" spans="1:14" ht="30">
      <c r="A30" s="3" t="s">
        <v>21</v>
      </c>
      <c r="B30" s="16">
        <f t="shared" si="2"/>
        <v>822914.39</v>
      </c>
      <c r="C30" s="18">
        <v>239889.64</v>
      </c>
      <c r="D30" s="18">
        <v>5070.28</v>
      </c>
      <c r="E30" s="18">
        <v>224067.98</v>
      </c>
      <c r="F30" s="18">
        <v>42325.16</v>
      </c>
      <c r="G30" s="18">
        <f>802.4+7995+20013.67</f>
        <v>28811.07</v>
      </c>
      <c r="H30" s="18">
        <v>64440.49</v>
      </c>
      <c r="I30" s="18">
        <v>218309.77</v>
      </c>
      <c r="J30" s="23"/>
      <c r="K30" s="10"/>
      <c r="L30" s="10"/>
      <c r="M30" s="10"/>
      <c r="N30" s="10"/>
    </row>
    <row r="31" spans="1:14" ht="45">
      <c r="A31" s="3" t="s">
        <v>22</v>
      </c>
      <c r="B31" s="16">
        <f t="shared" si="2"/>
        <v>3846813.5700000003</v>
      </c>
      <c r="C31" s="18">
        <v>173763.25</v>
      </c>
      <c r="D31" s="18">
        <v>82988.47</v>
      </c>
      <c r="E31" s="18">
        <v>1125298.8</v>
      </c>
      <c r="F31" s="18">
        <v>248190.81</v>
      </c>
      <c r="G31" s="18">
        <f>50+269+451592.12+826</f>
        <v>452737.12</v>
      </c>
      <c r="H31" s="18">
        <v>47707.9</v>
      </c>
      <c r="I31" s="18">
        <v>1716127.22</v>
      </c>
      <c r="J31" s="23"/>
      <c r="K31" s="10"/>
      <c r="L31" s="10"/>
      <c r="M31" s="10"/>
      <c r="N31" s="10"/>
    </row>
    <row r="32" spans="1:14" ht="45">
      <c r="A32" s="3" t="s">
        <v>23</v>
      </c>
      <c r="B32" s="16">
        <f t="shared" si="2"/>
        <v>22740003.890000001</v>
      </c>
      <c r="C32" s="18">
        <v>1807172.57</v>
      </c>
      <c r="D32" s="18">
        <v>634778.56000000006</v>
      </c>
      <c r="E32" s="18">
        <v>910954.94</v>
      </c>
      <c r="F32" s="18">
        <v>4240941.5199999996</v>
      </c>
      <c r="G32" s="18">
        <f>4739003.64+2230498.74+1303.9+167801.66+413+9515.01</f>
        <v>7148535.9500000002</v>
      </c>
      <c r="H32" s="18">
        <v>4707882.41</v>
      </c>
      <c r="I32" s="18">
        <v>3289737.94</v>
      </c>
      <c r="J32" s="23"/>
      <c r="K32" s="10"/>
      <c r="L32" s="10"/>
      <c r="M32" s="10"/>
      <c r="N32" s="10"/>
    </row>
    <row r="33" spans="1:14" ht="60">
      <c r="A33" s="3" t="s">
        <v>39</v>
      </c>
      <c r="B33" s="16">
        <f t="shared" si="2"/>
        <v>1062375.07</v>
      </c>
      <c r="C33" s="18">
        <v>0</v>
      </c>
      <c r="D33" s="18">
        <v>0</v>
      </c>
      <c r="E33" s="18">
        <v>1062375.07</v>
      </c>
      <c r="F33" s="18">
        <v>0</v>
      </c>
      <c r="G33" s="18">
        <v>0</v>
      </c>
      <c r="H33" s="18">
        <v>0</v>
      </c>
      <c r="I33" s="18">
        <v>0</v>
      </c>
      <c r="J33" s="10"/>
      <c r="K33" s="10"/>
      <c r="L33" s="10"/>
      <c r="M33" s="10"/>
      <c r="N33" s="10"/>
    </row>
    <row r="34" spans="1:14" ht="32.25" customHeight="1">
      <c r="A34" s="3" t="s">
        <v>24</v>
      </c>
      <c r="B34" s="16">
        <f t="shared" si="2"/>
        <v>2041446.33</v>
      </c>
      <c r="C34" s="18">
        <v>253337.21</v>
      </c>
      <c r="D34" s="18">
        <v>26639.200000000001</v>
      </c>
      <c r="E34" s="18">
        <v>0</v>
      </c>
      <c r="F34" s="18">
        <v>171922.71</v>
      </c>
      <c r="G34" s="18">
        <f>2304.74+528091.24+2792+113070.9+15657.5+10000</f>
        <v>671916.38</v>
      </c>
      <c r="H34" s="18">
        <v>245123.32</v>
      </c>
      <c r="I34" s="18">
        <v>672507.51</v>
      </c>
      <c r="J34" s="20"/>
      <c r="K34" s="10"/>
      <c r="L34" s="10"/>
      <c r="M34" s="10"/>
      <c r="N34" s="10"/>
    </row>
    <row r="35" spans="1:14" ht="22.5" customHeight="1">
      <c r="A35" s="2" t="s">
        <v>25</v>
      </c>
      <c r="B35" s="14">
        <f>SUM(C35:N35)</f>
        <v>20424121.699999999</v>
      </c>
      <c r="C35" s="14">
        <f t="shared" ref="C35:N35" si="7">+C36+C39</f>
        <v>4426092.37</v>
      </c>
      <c r="D35" s="14">
        <f>+D36+D37+D38+D39+D41+D42</f>
        <v>2474345</v>
      </c>
      <c r="E35" s="14">
        <f>+E36+E39+E38</f>
        <v>985860.96</v>
      </c>
      <c r="F35" s="14">
        <f>+F36+F39</f>
        <v>577681.82999999996</v>
      </c>
      <c r="G35" s="14">
        <f>+G36+G39</f>
        <v>8802275</v>
      </c>
      <c r="H35" s="14">
        <f>+H36+H39</f>
        <v>2006451.4</v>
      </c>
      <c r="I35" s="14">
        <f>+I36+I37+I38+I39+I41+I42+I43+I44+I45+I46+I47+I48+I49+I50</f>
        <v>1151415.1400000001</v>
      </c>
      <c r="J35" s="14">
        <f t="shared" si="7"/>
        <v>0</v>
      </c>
      <c r="K35" s="14">
        <f t="shared" si="7"/>
        <v>0</v>
      </c>
      <c r="L35" s="14">
        <f t="shared" si="7"/>
        <v>0</v>
      </c>
      <c r="M35" s="14">
        <f t="shared" si="7"/>
        <v>0</v>
      </c>
      <c r="N35" s="14">
        <f t="shared" si="7"/>
        <v>0</v>
      </c>
    </row>
    <row r="36" spans="1:14" ht="45">
      <c r="A36" s="3" t="s">
        <v>26</v>
      </c>
      <c r="B36" s="16">
        <f t="shared" si="2"/>
        <v>12172801.800000001</v>
      </c>
      <c r="C36" s="18">
        <v>4391092.37</v>
      </c>
      <c r="D36" s="18">
        <v>2404345</v>
      </c>
      <c r="E36" s="18">
        <f>654350+300000</f>
        <v>954350</v>
      </c>
      <c r="F36" s="18">
        <v>540115</v>
      </c>
      <c r="G36" s="18">
        <f>300000+282000+195000</f>
        <v>777000</v>
      </c>
      <c r="H36" s="18">
        <v>1980950.91</v>
      </c>
      <c r="I36" s="18">
        <v>1124948.52</v>
      </c>
      <c r="J36" s="20"/>
      <c r="K36" s="10"/>
      <c r="L36" s="10"/>
      <c r="M36" s="10"/>
      <c r="N36" s="10"/>
    </row>
    <row r="37" spans="1:14" ht="45">
      <c r="A37" s="3" t="s">
        <v>40</v>
      </c>
      <c r="B37" s="16">
        <f t="shared" si="2"/>
        <v>1041.6199999999999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1041.6199999999999</v>
      </c>
      <c r="J37" s="10"/>
      <c r="K37" s="10"/>
      <c r="L37" s="10"/>
      <c r="M37" s="10"/>
      <c r="N37" s="10"/>
    </row>
    <row r="38" spans="1:14" ht="45">
      <c r="A38" s="3" t="s">
        <v>41</v>
      </c>
      <c r="B38" s="16">
        <f t="shared" si="2"/>
        <v>31510.959999999999</v>
      </c>
      <c r="C38" s="18">
        <v>0</v>
      </c>
      <c r="D38" s="18">
        <v>0</v>
      </c>
      <c r="E38" s="18">
        <v>31510.959999999999</v>
      </c>
      <c r="F38" s="18">
        <v>0</v>
      </c>
      <c r="G38" s="18">
        <v>0</v>
      </c>
      <c r="H38" s="18">
        <v>0</v>
      </c>
      <c r="I38" s="18">
        <v>0</v>
      </c>
      <c r="J38" s="10"/>
      <c r="K38" s="10"/>
      <c r="L38" s="10"/>
      <c r="M38" s="10"/>
      <c r="N38" s="10"/>
    </row>
    <row r="39" spans="1:14" ht="45">
      <c r="A39" s="3" t="s">
        <v>42</v>
      </c>
      <c r="B39" s="16">
        <f t="shared" si="2"/>
        <v>8218767.3200000003</v>
      </c>
      <c r="C39" s="18">
        <v>35000</v>
      </c>
      <c r="D39" s="18">
        <v>70000</v>
      </c>
      <c r="E39" s="18">
        <v>0</v>
      </c>
      <c r="F39" s="18">
        <v>37566.83</v>
      </c>
      <c r="G39" s="18">
        <f>8000000+25275</f>
        <v>8025275</v>
      </c>
      <c r="H39" s="18">
        <v>25500.49</v>
      </c>
      <c r="I39" s="18">
        <v>25425</v>
      </c>
      <c r="J39" s="16"/>
      <c r="K39" s="18"/>
      <c r="L39" s="18"/>
      <c r="M39" s="18"/>
      <c r="N39" s="18"/>
    </row>
    <row r="40" spans="1:14" ht="45">
      <c r="A40" s="3" t="s">
        <v>43</v>
      </c>
      <c r="B40" s="16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0"/>
      <c r="K40" s="10"/>
      <c r="L40" s="10"/>
      <c r="M40" s="10"/>
      <c r="N40" s="10"/>
    </row>
    <row r="41" spans="1:14" ht="45">
      <c r="A41" s="3" t="s">
        <v>27</v>
      </c>
      <c r="B41" s="16">
        <f t="shared" si="2"/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0"/>
      <c r="K41" s="10"/>
      <c r="L41" s="10"/>
      <c r="M41" s="10"/>
      <c r="N41" s="10"/>
    </row>
    <row r="42" spans="1:14" ht="45">
      <c r="A42" s="3" t="s">
        <v>44</v>
      </c>
      <c r="B42" s="16">
        <f t="shared" si="2"/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0"/>
      <c r="K42" s="10"/>
      <c r="L42" s="10"/>
      <c r="M42" s="10"/>
      <c r="N42" s="10"/>
    </row>
    <row r="43" spans="1:14" ht="30">
      <c r="A43" s="2" t="s">
        <v>45</v>
      </c>
      <c r="B43" s="14">
        <f>SUM(C43:N43)</f>
        <v>0</v>
      </c>
      <c r="C43" s="19">
        <f>+C44+C45+C46+C47+C48+C49+C50</f>
        <v>0</v>
      </c>
      <c r="D43" s="19">
        <f>+D44+D45+D46+D47+D48+D49+D50</f>
        <v>0</v>
      </c>
      <c r="E43" s="19">
        <f t="shared" ref="E43:H43" si="8">+E44+E45+E46+E47+E48+E49+E50</f>
        <v>0</v>
      </c>
      <c r="F43" s="19">
        <f t="shared" si="8"/>
        <v>0</v>
      </c>
      <c r="G43" s="19">
        <f t="shared" si="8"/>
        <v>0</v>
      </c>
      <c r="H43" s="19">
        <f t="shared" si="8"/>
        <v>0</v>
      </c>
      <c r="I43" s="14">
        <f t="shared" ref="I43" si="9">+I44+I47</f>
        <v>0</v>
      </c>
      <c r="J43" s="10"/>
      <c r="K43" s="10"/>
      <c r="L43" s="10"/>
      <c r="M43" s="10"/>
      <c r="N43" s="10"/>
    </row>
    <row r="44" spans="1:14" ht="30">
      <c r="A44" s="3" t="s">
        <v>46</v>
      </c>
      <c r="B44" s="16">
        <f t="shared" si="2"/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0"/>
      <c r="K44" s="10"/>
      <c r="L44" s="10"/>
      <c r="M44" s="10"/>
      <c r="N44" s="10"/>
    </row>
    <row r="45" spans="1:14" ht="45">
      <c r="A45" s="3" t="s">
        <v>47</v>
      </c>
      <c r="B45" s="16">
        <f t="shared" si="2"/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0"/>
      <c r="K45" s="10"/>
      <c r="L45" s="10"/>
      <c r="M45" s="10"/>
      <c r="N45" s="10"/>
    </row>
    <row r="46" spans="1:14" ht="45">
      <c r="A46" s="3" t="s">
        <v>48</v>
      </c>
      <c r="B46" s="16">
        <f t="shared" si="2"/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0"/>
      <c r="K46" s="10"/>
      <c r="L46" s="10"/>
      <c r="M46" s="10"/>
      <c r="N46" s="10"/>
    </row>
    <row r="47" spans="1:14" ht="45">
      <c r="A47" s="3" t="s">
        <v>49</v>
      </c>
      <c r="B47" s="16">
        <f t="shared" si="2"/>
        <v>0</v>
      </c>
      <c r="C47" s="18">
        <v>0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0"/>
      <c r="K47" s="10"/>
      <c r="L47" s="10"/>
      <c r="M47" s="10"/>
      <c r="N47" s="10"/>
    </row>
    <row r="48" spans="1:14" ht="45">
      <c r="A48" s="3" t="s">
        <v>50</v>
      </c>
      <c r="B48" s="16">
        <f t="shared" si="2"/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0"/>
      <c r="K48" s="10"/>
      <c r="L48" s="10"/>
      <c r="M48" s="10"/>
      <c r="N48" s="10"/>
    </row>
    <row r="49" spans="1:14" ht="30">
      <c r="A49" s="3" t="s">
        <v>51</v>
      </c>
      <c r="B49" s="16">
        <f t="shared" si="2"/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0"/>
      <c r="K49" s="10"/>
      <c r="L49" s="10"/>
      <c r="M49" s="10"/>
      <c r="N49" s="10"/>
    </row>
    <row r="50" spans="1:14" ht="45">
      <c r="A50" s="3" t="s">
        <v>52</v>
      </c>
      <c r="B50" s="16">
        <f t="shared" si="2"/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0"/>
      <c r="K50" s="10"/>
      <c r="L50" s="10"/>
      <c r="M50" s="10"/>
      <c r="N50" s="10"/>
    </row>
    <row r="51" spans="1:14" ht="30">
      <c r="A51" s="2" t="s">
        <v>28</v>
      </c>
      <c r="B51" s="14">
        <f>SUM(C51:N51)</f>
        <v>3618893.8599999994</v>
      </c>
      <c r="C51" s="14">
        <f t="shared" ref="C51:F51" si="10">+C52+C57</f>
        <v>1359294</v>
      </c>
      <c r="D51" s="14">
        <f>+D52+D53+D54+D55+D56+D57+D60</f>
        <v>538869.72</v>
      </c>
      <c r="E51" s="14">
        <f>SUM(E52:E60)</f>
        <v>293185</v>
      </c>
      <c r="F51" s="14">
        <f t="shared" si="10"/>
        <v>123138.9</v>
      </c>
      <c r="G51" s="14">
        <f>+G52+G53+G54+G55+G57+G58+G60</f>
        <v>841221.96</v>
      </c>
      <c r="H51" s="14">
        <f>+H52+H57</f>
        <v>179979.71</v>
      </c>
      <c r="I51" s="15">
        <f>+I52+I57+I53</f>
        <v>283204.57</v>
      </c>
      <c r="J51" s="15">
        <f>+J52+J57+J53</f>
        <v>0</v>
      </c>
      <c r="K51" s="15">
        <f>+K52+K57+K53</f>
        <v>0</v>
      </c>
      <c r="L51" s="15">
        <f>+L52+L57+L53</f>
        <v>0</v>
      </c>
      <c r="M51" s="15">
        <f t="shared" ref="M51:N51" si="11">+M52+M57+M53</f>
        <v>0</v>
      </c>
      <c r="N51" s="15">
        <f t="shared" si="11"/>
        <v>0</v>
      </c>
    </row>
    <row r="52" spans="1:14">
      <c r="A52" s="3" t="s">
        <v>29</v>
      </c>
      <c r="B52" s="16">
        <f t="shared" si="2"/>
        <v>2924695.8999999994</v>
      </c>
      <c r="C52" s="18">
        <v>1359294</v>
      </c>
      <c r="D52" s="18">
        <v>538119.72</v>
      </c>
      <c r="E52" s="18">
        <v>292600</v>
      </c>
      <c r="F52" s="18">
        <v>123138.9</v>
      </c>
      <c r="G52" s="18">
        <f>138414+9945</f>
        <v>148359</v>
      </c>
      <c r="H52" s="18">
        <v>179979.71</v>
      </c>
      <c r="I52" s="18">
        <v>283204.57</v>
      </c>
      <c r="J52" s="16"/>
      <c r="K52" s="10"/>
      <c r="L52" s="10"/>
      <c r="M52" s="10"/>
      <c r="N52" s="10"/>
    </row>
    <row r="53" spans="1:14" ht="30">
      <c r="A53" s="3" t="s">
        <v>30</v>
      </c>
      <c r="B53" s="16">
        <f t="shared" si="2"/>
        <v>1335</v>
      </c>
      <c r="C53" s="18">
        <v>0</v>
      </c>
      <c r="D53" s="18">
        <v>750</v>
      </c>
      <c r="E53" s="18">
        <v>585</v>
      </c>
      <c r="F53" s="18">
        <v>0</v>
      </c>
      <c r="G53" s="18">
        <v>0</v>
      </c>
      <c r="H53" s="18">
        <v>0</v>
      </c>
      <c r="I53" s="18">
        <v>0</v>
      </c>
      <c r="J53" s="25"/>
      <c r="K53" s="10"/>
      <c r="L53" s="10"/>
      <c r="M53" s="10"/>
      <c r="N53" s="10"/>
    </row>
    <row r="54" spans="1:14" ht="45">
      <c r="A54" s="3" t="s">
        <v>31</v>
      </c>
      <c r="B54" s="16">
        <f t="shared" si="2"/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0">
        <v>0</v>
      </c>
      <c r="J54" s="10"/>
      <c r="K54" s="10"/>
      <c r="L54" s="10"/>
      <c r="M54" s="10"/>
      <c r="N54" s="10"/>
    </row>
    <row r="55" spans="1:14" ht="45">
      <c r="A55" s="3" t="s">
        <v>32</v>
      </c>
      <c r="B55" s="16">
        <f t="shared" si="2"/>
        <v>692862.96</v>
      </c>
      <c r="C55" s="18">
        <v>0</v>
      </c>
      <c r="D55" s="18">
        <v>0</v>
      </c>
      <c r="E55" s="18">
        <v>0</v>
      </c>
      <c r="F55" s="18">
        <v>0</v>
      </c>
      <c r="G55" s="18">
        <v>692862.96</v>
      </c>
      <c r="H55" s="18">
        <v>0</v>
      </c>
      <c r="I55" s="10">
        <v>0</v>
      </c>
      <c r="J55" s="10"/>
      <c r="K55" s="10"/>
      <c r="L55" s="10"/>
      <c r="M55" s="10"/>
      <c r="N55" s="10"/>
    </row>
    <row r="56" spans="1:14" ht="30">
      <c r="A56" s="3" t="s">
        <v>33</v>
      </c>
      <c r="B56" s="16">
        <f t="shared" si="2"/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0">
        <v>0</v>
      </c>
      <c r="J56" s="10"/>
      <c r="K56" s="10"/>
      <c r="L56" s="10"/>
      <c r="M56" s="10"/>
      <c r="N56" s="10"/>
    </row>
    <row r="57" spans="1:14" ht="30">
      <c r="A57" s="3" t="s">
        <v>53</v>
      </c>
      <c r="B57" s="16">
        <f t="shared" si="2"/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0">
        <v>0</v>
      </c>
      <c r="J57" s="10"/>
      <c r="K57" s="10"/>
      <c r="L57" s="10"/>
      <c r="M57" s="10"/>
      <c r="N57" s="10"/>
    </row>
    <row r="58" spans="1:14" ht="30">
      <c r="A58" s="3" t="s">
        <v>54</v>
      </c>
      <c r="B58" s="16">
        <f t="shared" si="2"/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0"/>
      <c r="K58" s="10"/>
      <c r="L58" s="10"/>
      <c r="M58" s="10"/>
      <c r="N58" s="10"/>
    </row>
    <row r="59" spans="1:14">
      <c r="A59" s="3" t="s">
        <v>34</v>
      </c>
      <c r="B59" s="16">
        <f t="shared" si="2"/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0"/>
      <c r="K59" s="10"/>
      <c r="L59" s="10"/>
      <c r="M59" s="10"/>
      <c r="N59" s="10"/>
    </row>
    <row r="60" spans="1:14" ht="60">
      <c r="A60" s="3" t="s">
        <v>55</v>
      </c>
      <c r="B60" s="16">
        <f t="shared" si="2"/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0"/>
      <c r="K60" s="10"/>
      <c r="L60" s="10"/>
      <c r="M60" s="10"/>
      <c r="N60" s="10"/>
    </row>
    <row r="61" spans="1:14">
      <c r="A61" s="2" t="s">
        <v>56</v>
      </c>
      <c r="B61" s="14">
        <f>SUM(C61:N61)</f>
        <v>5100781.1099999994</v>
      </c>
      <c r="C61" s="18"/>
      <c r="D61" s="14">
        <f>+D62+D63+D64+D65</f>
        <v>861407.41</v>
      </c>
      <c r="E61" s="14">
        <f>+E62+E63+E64+E65</f>
        <v>2774428.71</v>
      </c>
      <c r="F61" s="18"/>
      <c r="G61" s="14">
        <f t="shared" ref="G61" si="12">+G62+G67</f>
        <v>175487.76</v>
      </c>
      <c r="H61" s="14">
        <f>+H62+H67</f>
        <v>1066262.51</v>
      </c>
      <c r="I61" s="15">
        <f>+I62+I67+I63</f>
        <v>223194.72</v>
      </c>
      <c r="J61" s="10"/>
      <c r="K61" s="10"/>
      <c r="L61" s="10"/>
      <c r="M61" s="10"/>
      <c r="N61" s="10"/>
    </row>
    <row r="62" spans="1:14" ht="30">
      <c r="A62" s="3" t="s">
        <v>57</v>
      </c>
      <c r="B62" s="16">
        <f t="shared" si="2"/>
        <v>4239373.6999999993</v>
      </c>
      <c r="C62" s="18">
        <v>0</v>
      </c>
      <c r="D62" s="18">
        <v>0</v>
      </c>
      <c r="E62" s="18">
        <v>2774428.71</v>
      </c>
      <c r="F62" s="18">
        <v>0</v>
      </c>
      <c r="G62" s="18">
        <v>175487.76</v>
      </c>
      <c r="H62" s="18">
        <v>1066262.51</v>
      </c>
      <c r="I62" s="18">
        <v>223194.72</v>
      </c>
      <c r="J62" s="10"/>
      <c r="K62" s="10"/>
      <c r="L62" s="10"/>
      <c r="M62" s="10"/>
      <c r="N62" s="10"/>
    </row>
    <row r="63" spans="1:14">
      <c r="A63" s="3" t="s">
        <v>58</v>
      </c>
      <c r="B63" s="16">
        <f t="shared" si="2"/>
        <v>861407.41</v>
      </c>
      <c r="C63" s="18">
        <v>0</v>
      </c>
      <c r="D63" s="18">
        <v>861407.41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0"/>
      <c r="K63" s="10"/>
      <c r="L63" s="10"/>
      <c r="M63" s="10"/>
      <c r="N63" s="10"/>
    </row>
    <row r="64" spans="1:14" ht="30">
      <c r="A64" s="3" t="s">
        <v>59</v>
      </c>
      <c r="B64" s="16">
        <f t="shared" si="2"/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0"/>
      <c r="K64" s="10"/>
      <c r="L64" s="10"/>
      <c r="M64" s="10"/>
      <c r="N64" s="10"/>
    </row>
    <row r="65" spans="1:14" ht="60">
      <c r="A65" s="3" t="s">
        <v>60</v>
      </c>
      <c r="B65" s="16">
        <f t="shared" si="2"/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0"/>
      <c r="K65" s="10"/>
      <c r="L65" s="10"/>
      <c r="M65" s="10"/>
      <c r="N65" s="10"/>
    </row>
    <row r="66" spans="1:14" ht="45">
      <c r="A66" s="2" t="s">
        <v>61</v>
      </c>
      <c r="B66" s="16">
        <f t="shared" si="2"/>
        <v>0</v>
      </c>
      <c r="C66" s="19">
        <v>0</v>
      </c>
      <c r="D66" s="19">
        <v>0</v>
      </c>
      <c r="E66" s="19">
        <v>0</v>
      </c>
      <c r="F66" s="18">
        <v>0</v>
      </c>
      <c r="G66" s="14">
        <f t="shared" ref="G66" si="13">+G67+G72</f>
        <v>0</v>
      </c>
      <c r="H66" s="18"/>
      <c r="I66" s="15">
        <f>+I67+I72+I68</f>
        <v>0</v>
      </c>
      <c r="J66" s="10"/>
      <c r="K66" s="10"/>
      <c r="L66" s="10"/>
      <c r="M66" s="10"/>
      <c r="N66" s="10"/>
    </row>
    <row r="67" spans="1:14" ht="30">
      <c r="A67" s="3" t="s">
        <v>62</v>
      </c>
      <c r="B67" s="16">
        <f t="shared" si="2"/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0"/>
      <c r="K67" s="10"/>
      <c r="L67" s="10"/>
      <c r="M67" s="10"/>
      <c r="N67" s="10"/>
    </row>
    <row r="68" spans="1:14" ht="45">
      <c r="A68" s="3" t="s">
        <v>63</v>
      </c>
      <c r="B68" s="16">
        <f t="shared" si="2"/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0"/>
      <c r="K68" s="10"/>
      <c r="L68" s="10"/>
      <c r="M68" s="10"/>
      <c r="N68" s="10"/>
    </row>
    <row r="69" spans="1:14">
      <c r="A69" s="2" t="s">
        <v>64</v>
      </c>
      <c r="B69" s="16">
        <f t="shared" si="2"/>
        <v>0</v>
      </c>
      <c r="C69" s="18">
        <v>0</v>
      </c>
      <c r="D69" s="18">
        <v>0</v>
      </c>
      <c r="E69" s="18">
        <v>0</v>
      </c>
      <c r="F69" s="18"/>
      <c r="G69" s="14">
        <f t="shared" ref="G69" si="14">+G70+G75</f>
        <v>0</v>
      </c>
      <c r="H69" s="18">
        <v>0</v>
      </c>
      <c r="I69" s="15">
        <f>+I70+I75+I71</f>
        <v>0</v>
      </c>
      <c r="J69" s="10"/>
      <c r="K69" s="10"/>
      <c r="L69" s="10"/>
      <c r="M69" s="10"/>
      <c r="N69" s="10"/>
    </row>
    <row r="70" spans="1:14" ht="30">
      <c r="A70" s="3" t="s">
        <v>65</v>
      </c>
      <c r="B70" s="16">
        <f t="shared" si="2"/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5">
        <f>+I71+I76+I72</f>
        <v>0</v>
      </c>
      <c r="J70" s="10"/>
      <c r="K70" s="10"/>
      <c r="L70" s="10"/>
      <c r="M70" s="10"/>
      <c r="N70" s="10"/>
    </row>
    <row r="71" spans="1:14" ht="30">
      <c r="A71" s="3" t="s">
        <v>66</v>
      </c>
      <c r="B71" s="16">
        <f t="shared" si="2"/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0"/>
      <c r="K71" s="10"/>
      <c r="L71" s="10"/>
      <c r="M71" s="10"/>
      <c r="N71" s="10"/>
    </row>
    <row r="72" spans="1:14" ht="45">
      <c r="A72" s="3" t="s">
        <v>67</v>
      </c>
      <c r="B72" s="16">
        <f t="shared" si="2"/>
        <v>0</v>
      </c>
      <c r="C72" s="18">
        <v>0</v>
      </c>
      <c r="D72" s="18">
        <v>0</v>
      </c>
      <c r="E72" s="18">
        <v>0</v>
      </c>
      <c r="F72" s="18">
        <v>0</v>
      </c>
      <c r="G72" s="18">
        <v>0</v>
      </c>
      <c r="H72" s="18"/>
      <c r="I72" s="18">
        <v>0</v>
      </c>
      <c r="J72" s="10"/>
      <c r="K72" s="10"/>
      <c r="L72" s="10"/>
      <c r="M72" s="10"/>
      <c r="N72" s="10"/>
    </row>
    <row r="73" spans="1:14">
      <c r="A73" s="30" t="s">
        <v>35</v>
      </c>
      <c r="B73" s="31">
        <f t="shared" si="2"/>
        <v>696095548.13</v>
      </c>
      <c r="C73" s="32">
        <f>+C9+C15+C25+C35+C43+C51+C61</f>
        <v>98195900.700000003</v>
      </c>
      <c r="D73" s="32">
        <f>+D9+D15+D25+D35+D43+D51+D61+D66</f>
        <v>88517555.940000013</v>
      </c>
      <c r="E73" s="32">
        <f>+E9+E15+E25+E35+E51+E61</f>
        <v>104502290.02999999</v>
      </c>
      <c r="F73" s="32">
        <f t="shared" ref="F73:N73" si="15">+F9+F15+F25+F35+F43+F51+F61</f>
        <v>90452271.399999991</v>
      </c>
      <c r="G73" s="32">
        <f t="shared" si="15"/>
        <v>100703430.34999998</v>
      </c>
      <c r="H73" s="32">
        <f t="shared" si="15"/>
        <v>103754547.85000001</v>
      </c>
      <c r="I73" s="32">
        <f>+I9+I15+I25+I35+I43+I51+I61</f>
        <v>109969551.85999998</v>
      </c>
      <c r="J73" s="32">
        <f t="shared" si="15"/>
        <v>0</v>
      </c>
      <c r="K73" s="32">
        <f t="shared" si="15"/>
        <v>0</v>
      </c>
      <c r="L73" s="32">
        <f t="shared" si="15"/>
        <v>0</v>
      </c>
      <c r="M73" s="32">
        <f t="shared" si="15"/>
        <v>0</v>
      </c>
      <c r="N73" s="32">
        <f t="shared" si="15"/>
        <v>0</v>
      </c>
    </row>
    <row r="74" spans="1:14" ht="10.5" customHeight="1">
      <c r="A74" s="33"/>
      <c r="B74" s="34"/>
      <c r="C74" s="18"/>
      <c r="D74" s="18"/>
      <c r="E74" s="18"/>
      <c r="F74" s="18"/>
      <c r="G74" s="18"/>
      <c r="H74" s="18"/>
      <c r="I74" s="18"/>
      <c r="J74" s="35"/>
      <c r="K74" s="35"/>
      <c r="L74" s="35"/>
      <c r="M74" s="35"/>
      <c r="N74" s="35"/>
    </row>
    <row r="75" spans="1:14">
      <c r="A75" s="36" t="s">
        <v>68</v>
      </c>
      <c r="B75" s="34"/>
      <c r="C75" s="18"/>
      <c r="D75" s="18"/>
      <c r="E75" s="18"/>
      <c r="F75" s="18"/>
      <c r="G75" s="18"/>
      <c r="H75" s="18"/>
      <c r="I75" s="18"/>
      <c r="J75" s="37"/>
      <c r="K75" s="37"/>
      <c r="L75" s="37"/>
      <c r="M75" s="37"/>
      <c r="N75" s="37"/>
    </row>
    <row r="76" spans="1:14" ht="30">
      <c r="A76" s="36" t="s">
        <v>69</v>
      </c>
      <c r="B76" s="38">
        <f t="shared" ref="B76" si="16">SUM(C76:N76)</f>
        <v>0</v>
      </c>
      <c r="C76" s="19">
        <f t="shared" ref="C76:E76" si="17">+C77+C78</f>
        <v>0</v>
      </c>
      <c r="D76" s="19">
        <f t="shared" si="17"/>
        <v>0</v>
      </c>
      <c r="E76" s="19">
        <f t="shared" si="17"/>
        <v>0</v>
      </c>
      <c r="F76" s="18">
        <v>0</v>
      </c>
      <c r="G76" s="18">
        <v>0</v>
      </c>
      <c r="H76" s="18">
        <v>0</v>
      </c>
      <c r="I76" s="18"/>
      <c r="J76" s="35"/>
      <c r="K76" s="35"/>
      <c r="L76" s="35"/>
      <c r="M76" s="35"/>
      <c r="N76" s="35"/>
    </row>
    <row r="77" spans="1:14" ht="45">
      <c r="A77" s="39" t="s">
        <v>70</v>
      </c>
      <c r="B77" s="34">
        <f t="shared" ref="B77:B83" si="18">SUM(C77:N77)</f>
        <v>0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/>
      <c r="J77" s="35"/>
      <c r="K77" s="35"/>
      <c r="L77" s="35"/>
      <c r="M77" s="35"/>
      <c r="N77" s="35"/>
    </row>
    <row r="78" spans="1:14" ht="45">
      <c r="A78" s="39" t="s">
        <v>71</v>
      </c>
      <c r="B78" s="34">
        <f t="shared" si="18"/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/>
      <c r="J78" s="35"/>
      <c r="K78" s="35"/>
      <c r="L78" s="35"/>
      <c r="M78" s="35"/>
      <c r="N78" s="35"/>
    </row>
    <row r="79" spans="1:14">
      <c r="A79" s="36" t="s">
        <v>72</v>
      </c>
      <c r="B79" s="38">
        <f t="shared" si="18"/>
        <v>0</v>
      </c>
      <c r="C79" s="18"/>
      <c r="D79" s="18"/>
      <c r="E79" s="18"/>
      <c r="F79" s="18"/>
      <c r="G79" s="18">
        <v>0</v>
      </c>
      <c r="H79" s="18">
        <v>0</v>
      </c>
      <c r="I79" s="18"/>
      <c r="J79" s="35"/>
      <c r="K79" s="35"/>
      <c r="L79" s="35"/>
      <c r="M79" s="35"/>
      <c r="N79" s="35"/>
    </row>
    <row r="80" spans="1:14" ht="30">
      <c r="A80" s="39" t="s">
        <v>73</v>
      </c>
      <c r="B80" s="34">
        <f t="shared" si="18"/>
        <v>0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35"/>
      <c r="J80" s="35"/>
      <c r="K80" s="35"/>
      <c r="L80" s="35"/>
      <c r="M80" s="35"/>
      <c r="N80" s="35"/>
    </row>
    <row r="81" spans="1:14" ht="30">
      <c r="A81" s="39" t="s">
        <v>74</v>
      </c>
      <c r="B81" s="34">
        <f t="shared" si="18"/>
        <v>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/>
      <c r="J81" s="35"/>
      <c r="K81" s="35"/>
      <c r="L81" s="35"/>
      <c r="M81" s="35"/>
      <c r="N81" s="35"/>
    </row>
    <row r="82" spans="1:14" ht="30">
      <c r="A82" s="36" t="s">
        <v>75</v>
      </c>
      <c r="B82" s="38">
        <f t="shared" si="18"/>
        <v>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/>
      <c r="J82" s="35"/>
      <c r="K82" s="35"/>
      <c r="L82" s="35"/>
      <c r="M82" s="35"/>
      <c r="N82" s="35"/>
    </row>
    <row r="83" spans="1:14" ht="45">
      <c r="A83" s="3" t="s">
        <v>76</v>
      </c>
      <c r="B83" s="16">
        <f t="shared" si="18"/>
        <v>0</v>
      </c>
      <c r="C83" s="19">
        <v>0</v>
      </c>
      <c r="D83" s="19">
        <v>0</v>
      </c>
      <c r="E83" s="19">
        <v>0</v>
      </c>
      <c r="F83" s="18">
        <v>0</v>
      </c>
      <c r="G83" s="18">
        <v>0</v>
      </c>
      <c r="H83" s="18">
        <v>0</v>
      </c>
      <c r="I83" s="18"/>
      <c r="J83" s="10"/>
      <c r="K83" s="10"/>
      <c r="L83" s="10"/>
      <c r="M83" s="10"/>
      <c r="N83" s="10"/>
    </row>
    <row r="84" spans="1:14" ht="30">
      <c r="A84" s="27" t="s">
        <v>77</v>
      </c>
      <c r="B84" s="40">
        <f>+B76+B79+B82+B83</f>
        <v>0</v>
      </c>
      <c r="C84" s="40">
        <f t="shared" ref="C84:F84" si="19">+C76+C79+C82+C83</f>
        <v>0</v>
      </c>
      <c r="D84" s="40">
        <f t="shared" si="19"/>
        <v>0</v>
      </c>
      <c r="E84" s="40">
        <f t="shared" si="19"/>
        <v>0</v>
      </c>
      <c r="F84" s="40">
        <f t="shared" si="19"/>
        <v>0</v>
      </c>
      <c r="G84" s="28"/>
      <c r="H84" s="28"/>
      <c r="I84" s="28"/>
      <c r="J84" s="28"/>
      <c r="K84" s="28"/>
      <c r="L84" s="28"/>
      <c r="M84" s="28"/>
      <c r="N84" s="29"/>
    </row>
    <row r="85" spans="1:14" ht="9.75" customHeight="1">
      <c r="B85" s="11">
        <f t="shared" ref="B85" si="20">SUM(C85:H85)</f>
        <v>0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1:14" ht="31.5">
      <c r="A86" s="5" t="s">
        <v>78</v>
      </c>
      <c r="B86" s="26">
        <f>SUM(C86:E86)</f>
        <v>291215746.67000002</v>
      </c>
      <c r="C86" s="26">
        <f>+C73+C80</f>
        <v>98195900.700000003</v>
      </c>
      <c r="D86" s="26">
        <f>+D9+D15+D25+D35+D51+D61+D66</f>
        <v>88517555.940000013</v>
      </c>
      <c r="E86" s="26">
        <f>+E73+E80</f>
        <v>104502290.02999999</v>
      </c>
      <c r="F86" s="26">
        <f t="shared" ref="F86:H86" si="21">+F73+F80</f>
        <v>90452271.399999991</v>
      </c>
      <c r="G86" s="26">
        <f>+G9+G15+G25+G35+G51+G61</f>
        <v>100703430.34999998</v>
      </c>
      <c r="H86" s="26">
        <f t="shared" si="21"/>
        <v>103754547.85000001</v>
      </c>
      <c r="I86" s="26">
        <f>+I73</f>
        <v>109969551.85999998</v>
      </c>
      <c r="J86" s="26">
        <f>+J73</f>
        <v>0</v>
      </c>
      <c r="K86" s="26">
        <f>+K73</f>
        <v>0</v>
      </c>
      <c r="L86" s="26">
        <f>+L73</f>
        <v>0</v>
      </c>
      <c r="M86" s="26">
        <f t="shared" ref="M86:N86" si="22">+M73</f>
        <v>0</v>
      </c>
      <c r="N86" s="26">
        <f t="shared" si="22"/>
        <v>0</v>
      </c>
    </row>
    <row r="94" spans="1:14">
      <c r="A94" t="s">
        <v>99</v>
      </c>
    </row>
    <row r="95" spans="1:14">
      <c r="A95" t="s">
        <v>97</v>
      </c>
    </row>
    <row r="96" spans="1:14">
      <c r="A96" t="s">
        <v>98</v>
      </c>
    </row>
  </sheetData>
  <mergeCells count="5">
    <mergeCell ref="A1:N1"/>
    <mergeCell ref="A2:N2"/>
    <mergeCell ref="A3:N3"/>
    <mergeCell ref="A4:N4"/>
    <mergeCell ref="A5:N5"/>
  </mergeCells>
  <pageMargins left="0.11811023622047245" right="0" top="0.55118110236220474" bottom="0.55118110236220474" header="0.31496062992125984" footer="0.31496062992125984"/>
  <pageSetup paperSize="9" scale="67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CAROLINA.ROMANO</cp:lastModifiedBy>
  <cp:lastPrinted>2019-07-04T14:55:17Z</cp:lastPrinted>
  <dcterms:created xsi:type="dcterms:W3CDTF">2018-04-17T18:57:16Z</dcterms:created>
  <dcterms:modified xsi:type="dcterms:W3CDTF">2019-08-08T16:05:03Z</dcterms:modified>
</cp:coreProperties>
</file>