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<sst xmlns="http://schemas.openxmlformats.org/spreadsheetml/2006/main" count="788" uniqueCount="360">
  <si>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</si>
  <si>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</si>
  <si>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</si>
  <si>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</si>
  <si>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</si>
  <si>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</si>
  <si>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</si>
  <si>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</si>
  <si>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</si>
  <si>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</si>
  <si>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</si>
  <si>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</si>
  <si>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</si>
  <si>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</si>
  <si>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</si>
  <si>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</si>
  <si>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</si>
  <si>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</si>
  <si>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</si>
  <si>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</si>
  <si>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</si>
  <si>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</si>
  <si>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</si>
  <si>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</si>
  <si>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</si>
  <si>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</si>
  <si>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</si>
  <si>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</si>
  <si>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</si>
  <si>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</si>
  <si>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</si>
  <si>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</si>
  <si>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</si>
  <si>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</si>
  <si>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</si>
  <si>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</si>
  <si>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</si>
  <si>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</si>
  <si>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</si>
  <si>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</si>
  <si>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</si>
  <si>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</si>
  <si>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</si>
  <si>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</si>
  <si>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</si>
  <si>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</si>
  <si>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</si>
  <si>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</si>
  <si>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</si>
  <si>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</si>
  <si>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</si>
  <si>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</si>
  <si>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</si>
  <si>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</si>
  <si>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</si>
  <si>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</si>
  <si>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</si>
  <si>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</si>
  <si>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</si>
  <si>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</si>
  <si>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</si>
  <si>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</si>
  <si>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</si>
  <si>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</si>
  <si>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</si>
  <si>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</si>
  <si>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</si>
  <si>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</si>
  <si>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</si>
  <si>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</si>
  <si>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</si>
  <si>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</si>
  <si>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</si>
  <si>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</si>
  <si>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</si>
  <si>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</si>
  <si>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</si>
  <si>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</si>
  <si>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</si>
  <si>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</si>
  <si>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</si>
  <si>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</si>
  <si>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</si>
  <si>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</si>
  <si>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</si>
  <si>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</si>
  <si>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</si>
  <si>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</si>
  <si>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</si>
  <si>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</si>
  <si>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</si>
  <si>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</si>
  <si>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</si>
  <si>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</si>
  <si>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</si>
  <si>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</si>
  <si>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</si>
  <si>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</si>
  <si>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</si>
  <si>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</si>
  <si>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</si>
  <si>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</si>
  <si>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</si>
  <si>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</si>
  <si>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</si>
  <si>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</si>
  <si>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</si>
  <si>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</si>
  <si>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</si>
  <si>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</si>
  <si>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</si>
  <si>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</si>
  <si>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</si>
  <si>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</si>
  <si>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</si>
  <si>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</si>
  <si>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</si>
  <si>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</si>
  <si>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</si>
  <si>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</si>
  <si>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</si>
  <si>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</si>
  <si>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</si>
  <si>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</si>
  <si>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</si>
  <si>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</si>
  <si>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</si>
  <si>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</si>
  <si>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</si>
  <si>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</si>
  <si>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</si>
  <si>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</si>
  <si>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</si>
  <si>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</si>
  <si>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</si>
  <si>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</si>
  <si>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</si>
  <si>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</si>
  <si>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</si>
  <si>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</si>
  <si>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</si>
  <si>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</si>
  <si>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</si>
  <si>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</si>
  <si>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</si>
  <si>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</si>
  <si>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</si>
  <si>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</si>
  <si>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</si>
  <si>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</si>
  <si>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</si>
  <si>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</si>
  <si>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</si>
  <si>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</si>
  <si>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</si>
  <si>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</si>
  <si>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</si>
  <si>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</si>
  <si>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</si>
  <si>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</si>
  <si>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</si>
  <si>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</si>
  <si>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</si>
  <si>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</si>
  <si>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</si>
  <si>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</si>
  <si>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</si>
  <si>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</si>
  <si>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</si>
  <si>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</si>
  <si>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</si>
  <si>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</si>
  <si>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</si>
  <si>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</si>
  <si>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</si>
  <si>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</si>
  <si>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</si>
  <si>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</si>
  <si>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</si>
  <si>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</si>
  <si>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</si>
  <si>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</si>
  <si>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</si>
  <si>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</si>
  <si>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</si>
  <si>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</si>
  <si>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</si>
  <si>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</si>
  <si>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</si>
  <si>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</si>
  <si>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</si>
  <si>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</si>
  <si>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</si>
  <si>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</si>
  <si>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</si>
  <si>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</si>
  <si>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</si>
  <si>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</si>
  <si>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</si>
  <si>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</si>
  <si>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</si>
  <si>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</si>
  <si>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</si>
  <si>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</si>
  <si>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</si>
  <si>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</si>
  <si>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</si>
  <si>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</si>
  <si>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</si>
  <si>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</si>
  <si>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</si>
  <si>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</si>
  <si>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</si>
  <si>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</si>
  <si>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</si>
  <si>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</si>
  <si>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</si>
  <si>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</si>
  <si>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</si>
  <si>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</si>
  <si>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</si>
  <si>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</si>
  <si>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</si>
  <si>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</si>
  <si>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</si>
  <si>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</si>
  <si>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</si>
  <si>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</si>
  <si>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</si>
  <si>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</si>
  <si>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</si>
  <si>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</si>
  <si>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</si>
  <si>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</si>
  <si>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</si>
  <si>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</si>
  <si>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</si>
  <si>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</si>
  <si>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</si>
  <si>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</si>
  <si>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</si>
  <si>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</si>
  <si>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</si>
  <si>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</si>
  <si>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</si>
  <si>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</si>
  <si>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</si>
  <si>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</si>
  <si>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</si>
  <si>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</si>
  <si>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</si>
  <si>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</si>
  <si>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</si>
  <si>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</si>
  <si>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</si>
  <si>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</si>
  <si>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</si>
  <si>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</si>
  <si>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</si>
  <si>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</si>
  <si>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</si>
  <si>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</si>
  <si>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</si>
  <si>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</si>
  <si>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</si>
  <si>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</si>
  <si>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</si>
  <si>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</si>
  <si>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</si>
  <si>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</si>
  <si>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</si>
  <si>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</si>
  <si>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</si>
  <si>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</si>
  <si>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</si>
  <si>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</si>
  <si>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</si>
  <si>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</si>
  <si>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</si>
  <si>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</si>
  <si>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</si>
  <si>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</si>
  <si>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</si>
  <si>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</si>
  <si>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</si>
  <si>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</si>
  <si>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</si>
  <si>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</si>
  <si>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</si>
  <si>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</si>
  <si>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</si>
  <si>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</si>
  <si>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</si>
  <si>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</si>
  <si>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</si>
  <si>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</si>
  <si>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</si>
  <si>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</si>
  <si>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</si>
  <si>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</si>
  <si>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</si>
  <si>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</si>
  <si>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</si>
  <si>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</si>
  <si>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</si>
  <si>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</si>
  <si>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</si>
  <si>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</si>
  <si>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</si>
  <si>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</si>
  <si>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</si>
  <si>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</si>
  <si>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</si>
  <si>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</si>
  <si>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</si>
  <si>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</si>
  <si>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</si>
  <si>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</si>
  <si>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</si>
  <si>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</si>
  <si>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</si>
  <si>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</si>
  <si>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</si>
  <si>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</si>
  <si>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</si>
  <si>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</si>
  <si>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</si>
  <si>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</si>
  <si>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</si>
  <si>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</si>
  <si>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</si>
  <si>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</si>
  <si>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ENCARGADO DEPTO. DE CONTABILIDAD.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</si>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</sst>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55" fillId="0" borderId="0" xfId="58" applyFont="1" applyBorder="1" applyAlignment="1">
      <alignment horizontal="center"/>
      <protection/>
    </xf>
    <xf numFmtId="0" fontId="55" fillId="10" borderId="19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/>
    </xf>
    <xf numFmtId="0" fontId="55" fillId="10" borderId="21" xfId="0" applyFont="1" applyFill="1" applyBorder="1" applyAlignment="1">
      <alignment horizontal="center" vertical="center"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22" xfId="58" applyFont="1" applyFill="1" applyBorder="1" applyAlignment="1">
      <alignment horizontal="center" vertical="center"/>
      <protection/>
    </xf>
    <xf numFmtId="0" fontId="26" fillId="10" borderId="23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34316431"/>
        <c:axId val="4041242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28167497"/>
        <c:axId val="52180882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16431"/>
        <c:crossesAt val="1"/>
        <c:crossBetween val="between"/>
        <c:dispUnits/>
      </c:valAx>
      <c:catAx>
        <c:axId val="28167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674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180</xdr:row>
      <xdr:rowOff>47625</xdr:rowOff>
    </xdr:from>
    <xdr:to>
      <xdr:col>10</xdr:col>
      <xdr:colOff>847725</xdr:colOff>
      <xdr:row>190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37614225"/>
          <a:ext cx="3200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6"/>
  <sheetViews>
    <sheetView tabSelected="1" zoomScale="85" zoomScaleNormal="85" zoomScaleSheetLayoutView="47" workbookViewId="0" topLeftCell="G167">
      <selection activeCell="A188" sqref="A188:V188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2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2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21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ht="16.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1">
      <c r="A8" s="173" t="s"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18.75">
      <c r="A9" s="164" t="s">
        <v>317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4" t="s">
        <v>4</v>
      </c>
      <c r="B13" s="170" t="s">
        <v>5</v>
      </c>
      <c r="C13" s="61" t="s">
        <v>221</v>
      </c>
      <c r="D13" s="126" t="s">
        <v>142</v>
      </c>
      <c r="E13" s="165" t="s">
        <v>286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5"/>
      <c r="B14" s="171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1265282146.33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775686716.44</v>
      </c>
      <c r="R15" s="68">
        <f aca="true" t="shared" si="1" ref="R15:R32">+Q15/(C15+D15)</f>
        <v>0.6104108175117859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600432444.22</v>
      </c>
      <c r="V15" s="68">
        <f>+U15/C15</f>
        <v>0.4745443108966468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/>
      <c r="N16" s="38"/>
      <c r="O16" s="38"/>
      <c r="P16" s="38"/>
      <c r="Q16" s="87">
        <f>SUM(E16:P16)</f>
        <v>641156831.99</v>
      </c>
      <c r="R16" s="88">
        <f t="shared" si="1"/>
        <v>0.6589455061028444</v>
      </c>
      <c r="S16" s="87">
        <f aca="true" t="shared" si="3" ref="S16:S32">+C16-Q16</f>
        <v>329167900.01</v>
      </c>
      <c r="T16" s="88">
        <f t="shared" si="2"/>
        <v>0.3392347831138246</v>
      </c>
      <c r="U16" s="87">
        <f>+C16+D16-Q16</f>
        <v>331847500.01</v>
      </c>
      <c r="V16" s="88">
        <f>+U16/C16</f>
        <v>0.34199633284210673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/>
      <c r="N17" s="38"/>
      <c r="O17" s="38"/>
      <c r="P17" s="38"/>
      <c r="Q17" s="87">
        <f aca="true" t="shared" si="4" ref="Q17:Q23">SUM(E17:P17)</f>
        <v>133380000</v>
      </c>
      <c r="R17" s="88">
        <f t="shared" si="1"/>
        <v>0.6932432432432433</v>
      </c>
      <c r="S17" s="87">
        <f t="shared" si="3"/>
        <v>56220000</v>
      </c>
      <c r="T17" s="88">
        <f t="shared" si="2"/>
        <v>0.2965189873417722</v>
      </c>
      <c r="U17" s="87">
        <f>+C17+D17-Q17</f>
        <v>59020000</v>
      </c>
      <c r="V17" s="88">
        <f>+U17/C17</f>
        <v>0.31128691983122364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/>
      <c r="N18" s="38"/>
      <c r="O18" s="38"/>
      <c r="P18" s="38"/>
      <c r="Q18" s="87">
        <f t="shared" si="4"/>
        <v>1132634.4500000002</v>
      </c>
      <c r="R18" s="88">
        <f>+Q18/(C19+D18)</f>
        <v>0.01075040097749901</v>
      </c>
      <c r="S18" s="87">
        <f>+C19-Q18</f>
        <v>104224779.88</v>
      </c>
      <c r="T18" s="88">
        <f>+S18/C19</f>
        <v>0.989249599022501</v>
      </c>
      <c r="U18" s="87">
        <f>+C19+D18-Q18</f>
        <v>104224779.88</v>
      </c>
      <c r="V18" s="88">
        <f>+U18/C19</f>
        <v>0.989249599022501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/>
      <c r="N19" s="38"/>
      <c r="O19" s="38"/>
      <c r="P19" s="38"/>
      <c r="Q19" s="87">
        <f t="shared" si="4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>+U19/C19</f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147100891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5" ref="G20:P20">+G21+G22+G23+G24+G25</f>
        <v>12482280</v>
      </c>
      <c r="H20" s="65">
        <f>+H21+H22+H23+H24+H25</f>
        <v>12432355.48</v>
      </c>
      <c r="I20" s="65">
        <f t="shared" si="5"/>
        <v>12464037.66</v>
      </c>
      <c r="J20" s="65">
        <f>+J21+J22+J23+J24+J25</f>
        <v>12437704</v>
      </c>
      <c r="K20" s="65">
        <f t="shared" si="5"/>
        <v>12482409.370000001</v>
      </c>
      <c r="L20" s="65">
        <f t="shared" si="5"/>
        <v>13363959.370000001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 t="shared" si="5"/>
        <v>0</v>
      </c>
      <c r="Q20" s="67">
        <f>SUM(E20:P20)</f>
        <v>100336184.88000001</v>
      </c>
      <c r="R20" s="68">
        <f>+Q20/(C20+D20)</f>
        <v>0.6253778837466067</v>
      </c>
      <c r="S20" s="69">
        <f>SUM(S21:S37)</f>
        <v>219109423.13000003</v>
      </c>
      <c r="T20" s="68">
        <f>+S20/C20</f>
        <v>1.4895179875559015</v>
      </c>
      <c r="U20" s="70">
        <f>+U21+U22+U23+U24+U25</f>
        <v>60104706.120000005</v>
      </c>
      <c r="V20" s="68">
        <f>+U20/C20</f>
        <v>0.4085951193864625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</f>
        <v>46733651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/>
      <c r="N21" s="38"/>
      <c r="O21" s="38"/>
      <c r="P21" s="38"/>
      <c r="Q21" s="87">
        <f t="shared" si="4"/>
        <v>25912560.14</v>
      </c>
      <c r="R21" s="88">
        <f t="shared" si="1"/>
        <v>0.5241886774658825</v>
      </c>
      <c r="S21" s="87">
        <f t="shared" si="3"/>
        <v>20821090.86</v>
      </c>
      <c r="T21" s="88">
        <f t="shared" si="2"/>
        <v>0.4455267331884684</v>
      </c>
      <c r="U21" s="87">
        <f aca="true" t="shared" si="6" ref="U21:U32">+C21+D21-Q21</f>
        <v>23521090.86</v>
      </c>
      <c r="V21" s="88">
        <f aca="true" t="shared" si="7" ref="V21:V33">+U21/C21</f>
        <v>0.5033009481754378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</f>
        <v>3920000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/>
      <c r="N22" s="38"/>
      <c r="O22" s="38"/>
      <c r="P22" s="38"/>
      <c r="Q22" s="87">
        <f t="shared" si="4"/>
        <v>3920000</v>
      </c>
      <c r="R22" s="88">
        <f t="shared" si="1"/>
        <v>1</v>
      </c>
      <c r="S22" s="87">
        <f t="shared" si="3"/>
        <v>0</v>
      </c>
      <c r="T22" s="88">
        <f t="shared" si="2"/>
        <v>0</v>
      </c>
      <c r="U22" s="87">
        <f t="shared" si="6"/>
        <v>0</v>
      </c>
      <c r="V22" s="88">
        <f t="shared" si="7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/>
      <c r="N23" s="38"/>
      <c r="O23" s="38"/>
      <c r="P23" s="38"/>
      <c r="Q23" s="87">
        <f t="shared" si="4"/>
        <v>532000</v>
      </c>
      <c r="R23" s="90">
        <f t="shared" si="1"/>
        <v>0.6666666666666666</v>
      </c>
      <c r="S23" s="87">
        <f t="shared" si="3"/>
        <v>266000</v>
      </c>
      <c r="T23" s="88">
        <f t="shared" si="2"/>
        <v>0.3333333333333333</v>
      </c>
      <c r="U23" s="87">
        <f t="shared" si="6"/>
        <v>266000</v>
      </c>
      <c r="V23" s="88">
        <f t="shared" si="7"/>
        <v>0.3333333333333333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/>
      <c r="N24" s="38"/>
      <c r="O24" s="38"/>
      <c r="P24" s="38"/>
      <c r="Q24" s="87">
        <f aca="true" t="shared" si="8" ref="Q24:Q32">SUM(E24:P24)</f>
        <v>64291624.739999995</v>
      </c>
      <c r="R24" s="88">
        <f t="shared" si="1"/>
        <v>0.6721603301814002</v>
      </c>
      <c r="S24" s="87">
        <f t="shared" si="3"/>
        <v>31357615.260000005</v>
      </c>
      <c r="T24" s="88">
        <f t="shared" si="2"/>
        <v>0.32783966981859974</v>
      </c>
      <c r="U24" s="87">
        <f t="shared" si="6"/>
        <v>31357615.260000005</v>
      </c>
      <c r="V24" s="88">
        <f t="shared" si="7"/>
        <v>0.32783966981859974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/>
      <c r="N25" s="38"/>
      <c r="O25" s="38"/>
      <c r="P25" s="38"/>
      <c r="Q25" s="87">
        <f t="shared" si="8"/>
        <v>5680000</v>
      </c>
      <c r="R25" s="88">
        <f>+Q25/(C25+D25)</f>
        <v>0.5338345864661654</v>
      </c>
      <c r="S25" s="87">
        <f>+C25-Q25</f>
        <v>-5680000</v>
      </c>
      <c r="T25" s="88" t="e">
        <f>+S25/C25</f>
        <v>#DIV/0!</v>
      </c>
      <c r="U25" s="87">
        <f>+C25+D25-Q25</f>
        <v>4960000</v>
      </c>
      <c r="V25" s="90">
        <f>+U25/D25</f>
        <v>0.46616541353383456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1400000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9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9"/>
        <v>155892.1</v>
      </c>
      <c r="M26" s="65">
        <f t="shared" si="9"/>
        <v>0</v>
      </c>
      <c r="N26" s="65">
        <f t="shared" si="9"/>
        <v>0</v>
      </c>
      <c r="O26" s="65">
        <f t="shared" si="9"/>
        <v>0</v>
      </c>
      <c r="P26" s="65">
        <f t="shared" si="9"/>
        <v>0</v>
      </c>
      <c r="Q26" s="67">
        <f>SUM(E26:P26)</f>
        <v>1356230.6</v>
      </c>
      <c r="R26" s="68">
        <f>+Q26/(C26+D26)</f>
        <v>0.9687361428571429</v>
      </c>
      <c r="S26" s="69">
        <f>SUM(S28:S43)</f>
        <v>93481982.59</v>
      </c>
      <c r="T26" s="68">
        <f>+S26/C26</f>
        <v>66.77284470714287</v>
      </c>
      <c r="U26" s="70">
        <f>+U27+U28+U29</f>
        <v>73769.39999999997</v>
      </c>
      <c r="V26" s="68">
        <f>+U26/C26</f>
        <v>0.05269242857142855</v>
      </c>
      <c r="W26" s="3"/>
      <c r="X26" s="3"/>
      <c r="Y26" s="3"/>
      <c r="Z26" s="3"/>
      <c r="AA26" s="3"/>
      <c r="AB26" s="2"/>
    </row>
    <row r="27" spans="1:28" ht="15">
      <c r="A27" s="135" t="s">
        <v>337</v>
      </c>
      <c r="B27" s="58" t="s">
        <v>338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/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</f>
        <v>1200000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/>
      <c r="N28" s="38"/>
      <c r="O28" s="38"/>
      <c r="P28" s="38"/>
      <c r="Q28" s="87">
        <f t="shared" si="8"/>
        <v>1162822.53</v>
      </c>
      <c r="R28" s="88">
        <f t="shared" si="1"/>
        <v>0.969018775</v>
      </c>
      <c r="S28" s="87">
        <f t="shared" si="3"/>
        <v>37177.46999999997</v>
      </c>
      <c r="T28" s="88">
        <f t="shared" si="2"/>
        <v>0.030981224999999977</v>
      </c>
      <c r="U28" s="87">
        <f t="shared" si="6"/>
        <v>37177.46999999997</v>
      </c>
      <c r="V28" s="88">
        <f t="shared" si="7"/>
        <v>0.030981224999999977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v>200000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/>
      <c r="N29" s="38"/>
      <c r="O29" s="38"/>
      <c r="P29" s="38"/>
      <c r="Q29" s="87">
        <f t="shared" si="8"/>
        <v>169408.07</v>
      </c>
      <c r="R29" s="88">
        <f t="shared" si="1"/>
        <v>0.84704035</v>
      </c>
      <c r="S29" s="87">
        <f t="shared" si="3"/>
        <v>30591.929999999993</v>
      </c>
      <c r="T29" s="88">
        <f t="shared" si="2"/>
        <v>0.15295964999999997</v>
      </c>
      <c r="U29" s="87">
        <f t="shared" si="6"/>
        <v>30591.929999999993</v>
      </c>
      <c r="V29" s="88">
        <f t="shared" si="7"/>
        <v>0.15295964999999997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0" ref="G30:P30">+G31+G32</f>
        <v>2206989.02</v>
      </c>
      <c r="H30" s="65">
        <f>+H31+H32</f>
        <v>2196168.5</v>
      </c>
      <c r="I30" s="65">
        <f t="shared" si="10"/>
        <v>2158163.64</v>
      </c>
      <c r="J30" s="65">
        <f>+J31+J32</f>
        <v>2179543.33</v>
      </c>
      <c r="K30" s="65">
        <f t="shared" si="10"/>
        <v>2157798.57</v>
      </c>
      <c r="L30" s="65">
        <f t="shared" si="10"/>
        <v>2158084.25</v>
      </c>
      <c r="M30" s="65">
        <f t="shared" si="10"/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7">
        <f>SUM(E30:P30)</f>
        <v>17385435.42</v>
      </c>
      <c r="R30" s="68">
        <f t="shared" si="1"/>
        <v>0.6386849497871526</v>
      </c>
      <c r="S30" s="69">
        <f>SUM(S31:S46)</f>
        <v>47704981.75000001</v>
      </c>
      <c r="T30" s="68">
        <f t="shared" si="2"/>
        <v>1.7965097311235825</v>
      </c>
      <c r="U30" s="70">
        <f>+U31+U32</f>
        <v>9835239.540000001</v>
      </c>
      <c r="V30" s="68">
        <f t="shared" si="7"/>
        <v>0.37038277541195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/>
      <c r="N31" s="38"/>
      <c r="O31" s="38"/>
      <c r="P31" s="38"/>
      <c r="Q31" s="87">
        <f>SUM(E31:P31)</f>
        <v>14870278</v>
      </c>
      <c r="R31" s="88">
        <f t="shared" si="1"/>
        <v>0.6385206923357217</v>
      </c>
      <c r="S31" s="87">
        <f t="shared" si="3"/>
        <v>7848409.16</v>
      </c>
      <c r="T31" s="88">
        <f t="shared" si="2"/>
        <v>0.34546050591419825</v>
      </c>
      <c r="U31" s="87">
        <f t="shared" si="6"/>
        <v>8418361.16</v>
      </c>
      <c r="V31" s="88">
        <f t="shared" si="7"/>
        <v>0.37054787104168213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/>
      <c r="N32" s="38"/>
      <c r="O32" s="38"/>
      <c r="P32" s="38"/>
      <c r="Q32" s="87">
        <f t="shared" si="8"/>
        <v>2515157.42</v>
      </c>
      <c r="R32" s="88">
        <f t="shared" si="1"/>
        <v>0.6396578128815612</v>
      </c>
      <c r="S32" s="87">
        <f t="shared" si="3"/>
        <v>1320412.7800000003</v>
      </c>
      <c r="T32" s="88">
        <f t="shared" si="2"/>
        <v>0.344254624775216</v>
      </c>
      <c r="U32" s="87">
        <f t="shared" si="6"/>
        <v>1416878.3800000004</v>
      </c>
      <c r="V32" s="88">
        <f t="shared" si="7"/>
        <v>0.36940488796163873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58827081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1" ref="G33:P33">+G35+G36+G37+G38+G39+G40</f>
        <v>4747549.72</v>
      </c>
      <c r="H33" s="66">
        <f>+H35+H36+H37+H38+H39+H40</f>
        <v>4684017.65</v>
      </c>
      <c r="I33" s="66">
        <f t="shared" si="11"/>
        <v>5079639.26</v>
      </c>
      <c r="J33" s="66">
        <f>+J35+J36+J37+J38+J39+J40</f>
        <v>2614948</v>
      </c>
      <c r="K33" s="66">
        <f t="shared" si="11"/>
        <v>8017344.37</v>
      </c>
      <c r="L33" s="66">
        <f t="shared" si="11"/>
        <v>2748350.6799999997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70">
        <f>SUM(E33:P33)</f>
        <v>37339110.28999999</v>
      </c>
      <c r="R33" s="71">
        <f>+Q33/C33</f>
        <v>0.6347265520449671</v>
      </c>
      <c r="S33" s="70">
        <f>SUM(S37:S40)</f>
        <v>14254427.59</v>
      </c>
      <c r="T33" s="71">
        <f t="shared" si="2"/>
        <v>0.24231063904054664</v>
      </c>
      <c r="U33" s="70">
        <f>+U35+U36+U37+U38+U39+U40</f>
        <v>21487970.71</v>
      </c>
      <c r="V33" s="68">
        <f t="shared" si="7"/>
        <v>0.36527344795503286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/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/>
      <c r="N36" s="38"/>
      <c r="O36" s="38"/>
      <c r="P36" s="38"/>
      <c r="Q36" s="87">
        <f aca="true" t="shared" si="12" ref="Q36:Q61">SUM(E36:P36)</f>
        <v>13806810</v>
      </c>
      <c r="R36" s="88">
        <f aca="true" t="shared" si="13" ref="R36:R41">+Q36/C36</f>
        <v>0.659036276849642</v>
      </c>
      <c r="S36" s="87">
        <f aca="true" t="shared" si="14" ref="S36:S67">+C36-Q36</f>
        <v>7143190</v>
      </c>
      <c r="T36" s="88">
        <f aca="true" t="shared" si="15" ref="T36:T67">+S36/C36</f>
        <v>0.340963723150358</v>
      </c>
      <c r="U36" s="87">
        <f aca="true" t="shared" si="16" ref="U36:U61">+C36+D36-Q36</f>
        <v>7143190</v>
      </c>
      <c r="V36" s="88">
        <f aca="true" t="shared" si="17" ref="V36:V51">+U36/C36</f>
        <v>0.340963723150358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</f>
        <v>5324000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/>
      <c r="N37" s="38"/>
      <c r="O37" s="38"/>
      <c r="P37" s="38"/>
      <c r="Q37" s="87">
        <f t="shared" si="12"/>
        <v>4896809.38</v>
      </c>
      <c r="R37" s="88">
        <f t="shared" si="13"/>
        <v>0.9197613410969195</v>
      </c>
      <c r="S37" s="87">
        <f t="shared" si="14"/>
        <v>427190.6200000001</v>
      </c>
      <c r="T37" s="88">
        <f t="shared" si="15"/>
        <v>0.0802386589030804</v>
      </c>
      <c r="U37" s="87">
        <f t="shared" si="16"/>
        <v>427190.6200000001</v>
      </c>
      <c r="V37" s="88">
        <f t="shared" si="17"/>
        <v>0.0802386589030804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/>
      <c r="N38" s="38"/>
      <c r="O38" s="38"/>
      <c r="P38" s="38"/>
      <c r="Q38" s="87">
        <f t="shared" si="12"/>
        <v>18125054.64</v>
      </c>
      <c r="R38" s="88">
        <f>+Q38/(C38+D38)</f>
        <v>0.5688061687337308</v>
      </c>
      <c r="S38" s="87">
        <f t="shared" si="14"/>
        <v>13740026.36</v>
      </c>
      <c r="T38" s="88">
        <f t="shared" si="15"/>
        <v>0.43119383126626915</v>
      </c>
      <c r="U38" s="87">
        <f t="shared" si="16"/>
        <v>13740026.36</v>
      </c>
      <c r="V38" s="88">
        <f t="shared" si="17"/>
        <v>0.43119383126626915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/>
      <c r="N39" s="38"/>
      <c r="O39" s="38"/>
      <c r="P39" s="38"/>
      <c r="Q39" s="87">
        <f t="shared" si="12"/>
        <v>165258.38999999998</v>
      </c>
      <c r="R39" s="88">
        <f t="shared" si="13"/>
        <v>0.6885766249999999</v>
      </c>
      <c r="S39" s="87">
        <f t="shared" si="14"/>
        <v>74741.61000000002</v>
      </c>
      <c r="T39" s="88">
        <f t="shared" si="15"/>
        <v>0.31142337500000006</v>
      </c>
      <c r="U39" s="87">
        <f t="shared" si="16"/>
        <v>74741.61000000002</v>
      </c>
      <c r="V39" s="88">
        <f t="shared" si="17"/>
        <v>0.31142337500000006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/>
      <c r="N40" s="38"/>
      <c r="O40" s="38"/>
      <c r="P40" s="38"/>
      <c r="Q40" s="87">
        <f t="shared" si="12"/>
        <v>35531</v>
      </c>
      <c r="R40" s="88">
        <f t="shared" si="13"/>
        <v>0.7402291666666667</v>
      </c>
      <c r="S40" s="87">
        <f t="shared" si="14"/>
        <v>12469</v>
      </c>
      <c r="T40" s="88">
        <f t="shared" si="15"/>
        <v>0.25977083333333334</v>
      </c>
      <c r="U40" s="87">
        <f t="shared" si="16"/>
        <v>12469</v>
      </c>
      <c r="V40" s="88">
        <f t="shared" si="17"/>
        <v>0.25977083333333334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8" ref="E41:P41">SUM(E43:E43)</f>
        <v>0</v>
      </c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59495.8</v>
      </c>
      <c r="J41" s="66">
        <f t="shared" si="18"/>
        <v>1498.6</v>
      </c>
      <c r="K41" s="66">
        <f t="shared" si="18"/>
        <v>0</v>
      </c>
      <c r="L41" s="66">
        <f>+L42+L43</f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8"/>
        <v>0</v>
      </c>
      <c r="Q41" s="70">
        <f>SUM(E41:P41)</f>
        <v>60994.4</v>
      </c>
      <c r="R41" s="71">
        <f t="shared" si="13"/>
        <v>0.13259652173913045</v>
      </c>
      <c r="S41" s="70">
        <f t="shared" si="14"/>
        <v>399005.6</v>
      </c>
      <c r="T41" s="71">
        <f t="shared" si="15"/>
        <v>0.8674034782608695</v>
      </c>
      <c r="U41" s="70">
        <f>+C41+D41-Q41</f>
        <v>399005.6</v>
      </c>
      <c r="V41" s="68">
        <f t="shared" si="17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/>
      <c r="N42" s="38"/>
      <c r="O42" s="38"/>
      <c r="P42" s="38"/>
      <c r="Q42" s="87">
        <f t="shared" si="12"/>
        <v>0</v>
      </c>
      <c r="R42" s="88">
        <f>+Q42/(D42+C42)</f>
        <v>0</v>
      </c>
      <c r="S42" s="87">
        <f t="shared" si="14"/>
        <v>360000</v>
      </c>
      <c r="T42" s="88">
        <f t="shared" si="15"/>
        <v>1</v>
      </c>
      <c r="U42" s="87">
        <f t="shared" si="16"/>
        <v>360000</v>
      </c>
      <c r="V42" s="88">
        <f t="shared" si="17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/>
      <c r="N43" s="38"/>
      <c r="O43" s="38"/>
      <c r="P43" s="38"/>
      <c r="Q43" s="87">
        <f t="shared" si="12"/>
        <v>60994.4</v>
      </c>
      <c r="R43" s="88">
        <f>+Q43/(D43+C43)</f>
        <v>0.609944</v>
      </c>
      <c r="S43" s="87">
        <f t="shared" si="14"/>
        <v>39005.6</v>
      </c>
      <c r="T43" s="88">
        <f t="shared" si="15"/>
        <v>0.39005599999999996</v>
      </c>
      <c r="U43" s="87">
        <f t="shared" si="16"/>
        <v>39005.6</v>
      </c>
      <c r="V43" s="88">
        <f t="shared" si="17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19" ref="E44:P44">SUM(E45:E45)</f>
        <v>498600</v>
      </c>
      <c r="F44" s="66">
        <f t="shared" si="19"/>
        <v>567700</v>
      </c>
      <c r="G44" s="66">
        <f t="shared" si="19"/>
        <v>626600</v>
      </c>
      <c r="H44" s="66">
        <f>SUM(H45:H45)</f>
        <v>546700</v>
      </c>
      <c r="I44" s="66">
        <f t="shared" si="19"/>
        <v>643200</v>
      </c>
      <c r="J44" s="66">
        <f t="shared" si="19"/>
        <v>1018500</v>
      </c>
      <c r="K44" s="66">
        <f t="shared" si="19"/>
        <v>752100</v>
      </c>
      <c r="L44" s="66">
        <f t="shared" si="19"/>
        <v>849330</v>
      </c>
      <c r="M44" s="66">
        <f t="shared" si="19"/>
        <v>0</v>
      </c>
      <c r="N44" s="66">
        <f t="shared" si="19"/>
        <v>0</v>
      </c>
      <c r="O44" s="66">
        <f t="shared" si="19"/>
        <v>0</v>
      </c>
      <c r="P44" s="66">
        <f t="shared" si="19"/>
        <v>0</v>
      </c>
      <c r="Q44" s="70">
        <f>SUM(E44:P44)</f>
        <v>5502730</v>
      </c>
      <c r="R44" s="71">
        <f aca="true" t="shared" si="20" ref="R44:R51">+Q44/C44</f>
        <v>0.8593181960147417</v>
      </c>
      <c r="S44" s="70">
        <f t="shared" si="14"/>
        <v>900870</v>
      </c>
      <c r="T44" s="71">
        <f t="shared" si="15"/>
        <v>0.14068180398525829</v>
      </c>
      <c r="U44" s="70">
        <f>+C44+D44-Q44</f>
        <v>3798870</v>
      </c>
      <c r="V44" s="71">
        <f t="shared" si="17"/>
        <v>0.5932397401461678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/>
      <c r="N45" s="38"/>
      <c r="O45" s="38"/>
      <c r="P45" s="38"/>
      <c r="Q45" s="87">
        <f t="shared" si="12"/>
        <v>5502730</v>
      </c>
      <c r="R45" s="88">
        <f t="shared" si="20"/>
        <v>0.8593181960147417</v>
      </c>
      <c r="S45" s="87">
        <f t="shared" si="14"/>
        <v>900870</v>
      </c>
      <c r="T45" s="88">
        <f t="shared" si="15"/>
        <v>0.14068180398525829</v>
      </c>
      <c r="U45" s="87">
        <f t="shared" si="16"/>
        <v>3798870</v>
      </c>
      <c r="V45" s="88">
        <f t="shared" si="17"/>
        <v>0.5932397401461678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1" ref="C46:I46">+C47+C48</f>
        <v>556010.31</v>
      </c>
      <c r="D46" s="66">
        <f>+D47+D48</f>
        <v>0</v>
      </c>
      <c r="E46" s="66">
        <f t="shared" si="21"/>
        <v>46000</v>
      </c>
      <c r="F46" s="66">
        <f t="shared" si="21"/>
        <v>42000</v>
      </c>
      <c r="G46" s="66">
        <f t="shared" si="21"/>
        <v>40000</v>
      </c>
      <c r="H46" s="66">
        <f>+H47+H48</f>
        <v>42000</v>
      </c>
      <c r="I46" s="66">
        <f t="shared" si="21"/>
        <v>42000</v>
      </c>
      <c r="J46" s="66">
        <f aca="true" t="shared" si="22" ref="J46:P46">+J47+J48</f>
        <v>42000</v>
      </c>
      <c r="K46" s="66">
        <f t="shared" si="22"/>
        <v>54000</v>
      </c>
      <c r="L46" s="66">
        <f t="shared" si="22"/>
        <v>54000</v>
      </c>
      <c r="M46" s="66">
        <f t="shared" si="22"/>
        <v>0</v>
      </c>
      <c r="N46" s="66">
        <f t="shared" si="22"/>
        <v>0</v>
      </c>
      <c r="O46" s="66">
        <f t="shared" si="22"/>
        <v>0</v>
      </c>
      <c r="P46" s="66">
        <f t="shared" si="22"/>
        <v>0</v>
      </c>
      <c r="Q46" s="70">
        <f>SUM(E46:P46)</f>
        <v>362000</v>
      </c>
      <c r="R46" s="71">
        <f t="shared" si="20"/>
        <v>0.651067063846352</v>
      </c>
      <c r="S46" s="70">
        <f t="shared" si="14"/>
        <v>194010.31000000006</v>
      </c>
      <c r="T46" s="71">
        <f t="shared" si="15"/>
        <v>0.348932936153648</v>
      </c>
      <c r="U46" s="70">
        <f>+U47+U48</f>
        <v>194010.31</v>
      </c>
      <c r="V46" s="68">
        <f t="shared" si="17"/>
        <v>0.3489329361536479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</f>
        <v>376000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/>
      <c r="N47" s="38"/>
      <c r="O47" s="38"/>
      <c r="P47" s="38"/>
      <c r="Q47" s="87">
        <f t="shared" si="12"/>
        <v>362000</v>
      </c>
      <c r="R47" s="88">
        <f t="shared" si="20"/>
        <v>0.9627659574468085</v>
      </c>
      <c r="S47" s="87">
        <f t="shared" si="14"/>
        <v>14000</v>
      </c>
      <c r="T47" s="88">
        <f t="shared" si="15"/>
        <v>0.03723404255319149</v>
      </c>
      <c r="U47" s="87">
        <f t="shared" si="16"/>
        <v>14000</v>
      </c>
      <c r="V47" s="88">
        <f t="shared" si="17"/>
        <v>0.03723404255319149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/>
      <c r="N48" s="38"/>
      <c r="O48" s="38"/>
      <c r="P48" s="38"/>
      <c r="Q48" s="87">
        <f t="shared" si="12"/>
        <v>0</v>
      </c>
      <c r="R48" s="88">
        <f t="shared" si="20"/>
        <v>0</v>
      </c>
      <c r="S48" s="87">
        <f t="shared" si="14"/>
        <v>180010.31</v>
      </c>
      <c r="T48" s="88">
        <f t="shared" si="15"/>
        <v>1</v>
      </c>
      <c r="U48" s="87">
        <f t="shared" si="16"/>
        <v>180010.31</v>
      </c>
      <c r="V48" s="88">
        <f t="shared" si="17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3" ref="E49:P49">+E50+E51</f>
        <v>1092758.14</v>
      </c>
      <c r="F49" s="66">
        <f t="shared" si="23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3"/>
        <v>1074383.17</v>
      </c>
      <c r="L49" s="66">
        <f t="shared" si="23"/>
        <v>1323476.24</v>
      </c>
      <c r="M49" s="66">
        <f>+M50+M51+M52</f>
        <v>0</v>
      </c>
      <c r="N49" s="66">
        <f t="shared" si="23"/>
        <v>0</v>
      </c>
      <c r="O49" s="66">
        <f t="shared" si="23"/>
        <v>0</v>
      </c>
      <c r="P49" s="66">
        <f t="shared" si="23"/>
        <v>0</v>
      </c>
      <c r="Q49" s="70">
        <f>SUM(E49:P49)</f>
        <v>115301172.86999999</v>
      </c>
      <c r="R49" s="71">
        <f t="shared" si="20"/>
        <v>0.9659149576575421</v>
      </c>
      <c r="S49" s="70">
        <f t="shared" si="14"/>
        <v>4068728.13000001</v>
      </c>
      <c r="T49" s="71">
        <f t="shared" si="15"/>
        <v>0.03408504234245792</v>
      </c>
      <c r="U49" s="70">
        <f>+U50+U51+U52</f>
        <v>4068728.129999999</v>
      </c>
      <c r="V49" s="68">
        <f t="shared" si="17"/>
        <v>0.03408504234245783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/>
      <c r="N50" s="38"/>
      <c r="O50" s="38"/>
      <c r="P50" s="38"/>
      <c r="Q50" s="87">
        <f t="shared" si="12"/>
        <v>9229271.870000001</v>
      </c>
      <c r="R50" s="88">
        <f t="shared" si="20"/>
        <v>0.7154474317829458</v>
      </c>
      <c r="S50" s="87">
        <f t="shared" si="14"/>
        <v>3670728.129999999</v>
      </c>
      <c r="T50" s="88">
        <f t="shared" si="15"/>
        <v>0.28455256821705416</v>
      </c>
      <c r="U50" s="87">
        <f t="shared" si="16"/>
        <v>3670728.129999999</v>
      </c>
      <c r="V50" s="88">
        <f t="shared" si="17"/>
        <v>0.28455256821705416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/>
      <c r="N51" s="38"/>
      <c r="O51" s="38"/>
      <c r="P51" s="38"/>
      <c r="Q51" s="87">
        <f t="shared" si="12"/>
        <v>0</v>
      </c>
      <c r="R51" s="88">
        <f t="shared" si="20"/>
        <v>0</v>
      </c>
      <c r="S51" s="87">
        <f t="shared" si="14"/>
        <v>398000</v>
      </c>
      <c r="T51" s="88">
        <f t="shared" si="15"/>
        <v>1</v>
      </c>
      <c r="U51" s="87">
        <f t="shared" si="16"/>
        <v>398000</v>
      </c>
      <c r="V51" s="88">
        <f t="shared" si="17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  <c r="N52" s="38"/>
      <c r="O52" s="38"/>
      <c r="P52" s="38"/>
      <c r="Q52" s="87">
        <f t="shared" si="12"/>
        <v>106071901</v>
      </c>
      <c r="R52" s="88">
        <f>+Q52/(C52+D52)</f>
        <v>1</v>
      </c>
      <c r="S52" s="87">
        <f t="shared" si="14"/>
        <v>0</v>
      </c>
      <c r="T52" s="88">
        <f t="shared" si="15"/>
        <v>0</v>
      </c>
      <c r="U52" s="87">
        <f t="shared" si="16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4" ref="E53:P53">+E54</f>
        <v>375886.23</v>
      </c>
      <c r="F53" s="66">
        <f t="shared" si="24"/>
        <v>114443.18</v>
      </c>
      <c r="G53" s="66">
        <f t="shared" si="24"/>
        <v>42705.43</v>
      </c>
      <c r="H53" s="66">
        <f>+H54</f>
        <v>18862.26</v>
      </c>
      <c r="I53" s="66">
        <f t="shared" si="24"/>
        <v>42481.15</v>
      </c>
      <c r="J53" s="66">
        <f t="shared" si="24"/>
        <v>7291.69</v>
      </c>
      <c r="K53" s="66">
        <f t="shared" si="24"/>
        <v>42075.79</v>
      </c>
      <c r="L53" s="66">
        <f t="shared" si="24"/>
        <v>2453183.73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4"/>
        <v>0</v>
      </c>
      <c r="Q53" s="70">
        <f>SUM(E53:P53)</f>
        <v>3096929.46</v>
      </c>
      <c r="R53" s="71">
        <f aca="true" t="shared" si="25" ref="R53:R67">+Q53/C53</f>
        <v>4.488303565217391</v>
      </c>
      <c r="S53" s="70">
        <f t="shared" si="14"/>
        <v>-2406929.46</v>
      </c>
      <c r="T53" s="71">
        <f t="shared" si="15"/>
        <v>-3.4883035652173913</v>
      </c>
      <c r="U53" s="70">
        <f>+U54</f>
        <v>9294121.850000001</v>
      </c>
      <c r="V53" s="68">
        <f aca="true" t="shared" si="26" ref="V53:V67">+U53/C53</f>
        <v>13.469741811594204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/>
      <c r="N54" s="42"/>
      <c r="O54" s="42"/>
      <c r="P54" s="42"/>
      <c r="Q54" s="87">
        <f t="shared" si="12"/>
        <v>3096929.46</v>
      </c>
      <c r="R54" s="88">
        <f>+Q54/C54</f>
        <v>4.488303565217391</v>
      </c>
      <c r="S54" s="87">
        <f t="shared" si="14"/>
        <v>-2406929.46</v>
      </c>
      <c r="T54" s="88">
        <f t="shared" si="15"/>
        <v>-3.4883035652173913</v>
      </c>
      <c r="U54" s="87">
        <f t="shared" si="16"/>
        <v>9294121.850000001</v>
      </c>
      <c r="V54" s="88">
        <f t="shared" si="26"/>
        <v>13.469741811594204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5046548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0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2444385.83</v>
      </c>
      <c r="R55" s="71">
        <f t="shared" si="25"/>
        <v>0.48436789464798513</v>
      </c>
      <c r="S55" s="70">
        <f t="shared" si="14"/>
        <v>2602162.17</v>
      </c>
      <c r="T55" s="71">
        <f t="shared" si="15"/>
        <v>0.5156321053520149</v>
      </c>
      <c r="U55" s="70">
        <f>+U56+U58+U59+U60+U61+U62</f>
        <v>2656760.7699999996</v>
      </c>
      <c r="V55" s="68">
        <f t="shared" si="26"/>
        <v>0.5264511047948022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/>
      <c r="N56" s="39"/>
      <c r="O56" s="39"/>
      <c r="P56" s="39"/>
      <c r="Q56" s="87">
        <f t="shared" si="12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6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358</v>
      </c>
      <c r="B57" s="28" t="s">
        <v>359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/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/>
      <c r="N58" s="39"/>
      <c r="O58" s="39"/>
      <c r="P58" s="39"/>
      <c r="Q58" s="87">
        <f t="shared" si="12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6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/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/>
      <c r="N60" s="39"/>
      <c r="O60" s="39"/>
      <c r="P60" s="39"/>
      <c r="Q60" s="87">
        <f t="shared" si="12"/>
        <v>0</v>
      </c>
      <c r="R60" s="88" t="e">
        <f t="shared" si="25"/>
        <v>#DIV/0!</v>
      </c>
      <c r="S60" s="87">
        <f t="shared" si="14"/>
        <v>0</v>
      </c>
      <c r="T60" s="88" t="e">
        <f t="shared" si="15"/>
        <v>#DIV/0!</v>
      </c>
      <c r="U60" s="87">
        <f t="shared" si="16"/>
        <v>0</v>
      </c>
      <c r="V60" s="88" t="e">
        <f t="shared" si="26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/>
      <c r="N61" s="39"/>
      <c r="O61" s="39"/>
      <c r="P61" s="39"/>
      <c r="Q61" s="87">
        <f t="shared" si="12"/>
        <v>0</v>
      </c>
      <c r="R61" s="88" t="e">
        <f t="shared" si="25"/>
        <v>#DIV/0!</v>
      </c>
      <c r="S61" s="87">
        <f t="shared" si="14"/>
        <v>0</v>
      </c>
      <c r="T61" s="88" t="e">
        <f t="shared" si="15"/>
        <v>#DIV/0!</v>
      </c>
      <c r="U61" s="87">
        <f t="shared" si="16"/>
        <v>0</v>
      </c>
      <c r="V61" s="88" t="e">
        <f t="shared" si="26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</f>
        <v>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/>
      <c r="N62" s="39"/>
      <c r="O62" s="39"/>
      <c r="P62" s="39"/>
      <c r="Q62" s="87">
        <f>SUM(E62:P62)</f>
        <v>238259.2</v>
      </c>
      <c r="R62" s="88">
        <f>+Q62/C62</f>
        <v>0.9530368</v>
      </c>
      <c r="S62" s="87">
        <f>+C62-Q62</f>
        <v>11740.799999999988</v>
      </c>
      <c r="T62" s="88">
        <f>+S62/C62</f>
        <v>0.046963199999999955</v>
      </c>
      <c r="U62" s="87">
        <f>+C62+D62-Q62</f>
        <v>11740.799999999988</v>
      </c>
      <c r="V62" s="88">
        <f>+U62/C62</f>
        <v>0.046963199999999955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354</v>
      </c>
      <c r="B63" s="28" t="s">
        <v>355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/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5"/>
        <v>#DIV/0!</v>
      </c>
      <c r="S64" s="46">
        <f t="shared" si="14"/>
        <v>0</v>
      </c>
      <c r="T64" s="47" t="e">
        <f t="shared" si="15"/>
        <v>#DIV/0!</v>
      </c>
      <c r="U64" s="44">
        <f>+C64-Q64</f>
        <v>0</v>
      </c>
      <c r="V64" s="45" t="e">
        <f t="shared" si="26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+C66+C67+C68+C69+C70+C71+C72+C73+C74</f>
        <v>8012000</v>
      </c>
      <c r="D65" s="66">
        <f>+D66+D67+D68+D69+D70+D71+D72+D73+D74</f>
        <v>0</v>
      </c>
      <c r="E65" s="66">
        <f>+E66+E67+E68+E69+E70+E71+E72+E73+E74</f>
        <v>736250.8300000001</v>
      </c>
      <c r="F65" s="66">
        <f>+F66+F67+F68+F69+F70+F71+F72+F73+F74</f>
        <v>2045810.9300000002</v>
      </c>
      <c r="G65" s="66">
        <f>+G66+G70+G71+G72+G73</f>
        <v>6274369.7700000005</v>
      </c>
      <c r="H65" s="66">
        <f>+H66+H67+H68+H69+H70+H71+H72+H73+H74</f>
        <v>974743.41</v>
      </c>
      <c r="I65" s="66">
        <f>+I66+I67+I68+I69+I70+I71+I72+I73+I74</f>
        <v>1549445.3900000001</v>
      </c>
      <c r="J65" s="66">
        <f>+J66+J67+J70+J71+J72+J73+J74</f>
        <v>781171.87</v>
      </c>
      <c r="K65" s="66">
        <f>+K66+K67+K68+K70+K71+K72+K73+K74</f>
        <v>935982.98</v>
      </c>
      <c r="L65" s="66">
        <f>+L66+L67+L68+L70+L71+L72+L73+L74</f>
        <v>1472447.9</v>
      </c>
      <c r="M65" s="66">
        <f>+M66+M67+M68+M70+M71+M72+M73+M74</f>
        <v>0</v>
      </c>
      <c r="N65" s="66">
        <f>+N66+N67+N68+N70+N71+N72+N73+N74</f>
        <v>0</v>
      </c>
      <c r="O65" s="66">
        <f>+O66+O67+O68+O69+O70+O71+O72+O73+O74</f>
        <v>0</v>
      </c>
      <c r="P65" s="66">
        <f>+P66+P67+P68+P69+P70+P71+P72+P73+P74</f>
        <v>0</v>
      </c>
      <c r="Q65" s="70">
        <f>SUM(E65:P65)</f>
        <v>14770223.080000002</v>
      </c>
      <c r="R65" s="71">
        <f t="shared" si="25"/>
        <v>1.8435126160758863</v>
      </c>
      <c r="S65" s="70">
        <f t="shared" si="14"/>
        <v>-6758223.080000002</v>
      </c>
      <c r="T65" s="71">
        <f t="shared" si="15"/>
        <v>-0.8435126160758865</v>
      </c>
      <c r="U65" s="70">
        <f>+U66+U67+U68+U69+U70+U71+U72+U73+U74</f>
        <v>-6758223.080000001</v>
      </c>
      <c r="V65" s="71">
        <f t="shared" si="26"/>
        <v>-0.8435126160758863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/>
      <c r="N66" s="39"/>
      <c r="O66" s="39"/>
      <c r="P66" s="39"/>
      <c r="Q66" s="87">
        <f aca="true" t="shared" si="27" ref="Q66:Q74">SUM(E66:P66)</f>
        <v>2116991.28</v>
      </c>
      <c r="R66" s="88">
        <f t="shared" si="25"/>
        <v>0.70566376</v>
      </c>
      <c r="S66" s="87">
        <f t="shared" si="14"/>
        <v>883008.7200000002</v>
      </c>
      <c r="T66" s="88">
        <f t="shared" si="15"/>
        <v>0.2943362400000001</v>
      </c>
      <c r="U66" s="87">
        <f aca="true" t="shared" si="28" ref="U66:U74">+C66+D66-Q66</f>
        <v>883008.7200000002</v>
      </c>
      <c r="V66" s="88">
        <f t="shared" si="26"/>
        <v>0.2943362400000001</v>
      </c>
      <c r="W66" s="3"/>
      <c r="X66" s="3"/>
      <c r="Y66" s="3"/>
      <c r="Z66" s="3"/>
      <c r="AA66" s="3"/>
    </row>
    <row r="67" spans="1:27" s="2" customFormat="1" ht="17.25" customHeight="1">
      <c r="A67" s="96" t="s">
        <v>243</v>
      </c>
      <c r="B67" s="37" t="s">
        <v>244</v>
      </c>
      <c r="C67" s="38">
        <v>200000</v>
      </c>
      <c r="D67" s="39"/>
      <c r="E67" s="39">
        <v>0</v>
      </c>
      <c r="F67" s="39">
        <v>0</v>
      </c>
      <c r="G67" s="39">
        <v>0</v>
      </c>
      <c r="H67" s="39">
        <v>197828</v>
      </c>
      <c r="I67" s="39">
        <v>0</v>
      </c>
      <c r="J67" s="39">
        <v>0</v>
      </c>
      <c r="K67" s="39">
        <v>0</v>
      </c>
      <c r="L67" s="39">
        <v>0</v>
      </c>
      <c r="M67" s="39"/>
      <c r="N67" s="39"/>
      <c r="O67" s="39"/>
      <c r="P67" s="39"/>
      <c r="Q67" s="87">
        <f t="shared" si="27"/>
        <v>197828</v>
      </c>
      <c r="R67" s="88">
        <f t="shared" si="25"/>
        <v>0.98914</v>
      </c>
      <c r="S67" s="87">
        <f t="shared" si="14"/>
        <v>2172</v>
      </c>
      <c r="T67" s="88">
        <f t="shared" si="15"/>
        <v>0.01086</v>
      </c>
      <c r="U67" s="87">
        <f t="shared" si="28"/>
        <v>2172</v>
      </c>
      <c r="V67" s="88">
        <f t="shared" si="26"/>
        <v>0.01086</v>
      </c>
      <c r="W67" s="3"/>
      <c r="X67" s="3"/>
      <c r="Y67" s="3"/>
      <c r="Z67" s="3"/>
      <c r="AA67" s="3"/>
    </row>
    <row r="68" spans="1:27" s="2" customFormat="1" ht="17.25" customHeight="1">
      <c r="A68" s="118" t="s">
        <v>294</v>
      </c>
      <c r="B68" s="37" t="s">
        <v>293</v>
      </c>
      <c r="C68" s="38">
        <f>2000000+350000</f>
        <v>2350000</v>
      </c>
      <c r="D68" s="39"/>
      <c r="E68" s="39">
        <v>0</v>
      </c>
      <c r="F68" s="39">
        <v>1077340</v>
      </c>
      <c r="G68" s="39">
        <v>0</v>
      </c>
      <c r="H68" s="39">
        <v>12154</v>
      </c>
      <c r="I68" s="39">
        <v>769655</v>
      </c>
      <c r="J68" s="39">
        <v>0</v>
      </c>
      <c r="K68" s="39">
        <v>0</v>
      </c>
      <c r="L68" s="39">
        <v>456070</v>
      </c>
      <c r="M68" s="39"/>
      <c r="N68" s="39"/>
      <c r="O68" s="39"/>
      <c r="P68" s="39"/>
      <c r="Q68" s="87">
        <f t="shared" si="27"/>
        <v>2315219</v>
      </c>
      <c r="R68" s="88">
        <f>+Q68/(C68+D68)</f>
        <v>0.9851995744680851</v>
      </c>
      <c r="S68" s="87">
        <f>+C68-Q68</f>
        <v>34781</v>
      </c>
      <c r="T68" s="88">
        <f>+S68/C68</f>
        <v>0.014800425531914893</v>
      </c>
      <c r="U68" s="87">
        <f t="shared" si="28"/>
        <v>34781</v>
      </c>
      <c r="V68" s="88">
        <f>+U68/(C68+D68)</f>
        <v>0.014800425531914893</v>
      </c>
      <c r="W68" s="3"/>
      <c r="X68" s="3"/>
      <c r="Y68" s="3"/>
      <c r="Z68" s="3"/>
      <c r="AA68" s="3"/>
    </row>
    <row r="69" spans="1:27" s="2" customFormat="1" ht="17.25" customHeight="1">
      <c r="A69" s="121" t="s">
        <v>312</v>
      </c>
      <c r="B69" s="28" t="s">
        <v>313</v>
      </c>
      <c r="C69" s="38">
        <v>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/>
      <c r="N69" s="39"/>
      <c r="O69" s="39"/>
      <c r="P69" s="39"/>
      <c r="Q69" s="87">
        <f t="shared" si="27"/>
        <v>0</v>
      </c>
      <c r="R69" s="88" t="e">
        <f>+Q69/(C69+D69)</f>
        <v>#DIV/0!</v>
      </c>
      <c r="S69" s="87">
        <f>+C69-Q69</f>
        <v>0</v>
      </c>
      <c r="T69" s="88" t="e">
        <f>+S69/C69</f>
        <v>#DIV/0!</v>
      </c>
      <c r="U69" s="87">
        <f t="shared" si="28"/>
        <v>0</v>
      </c>
      <c r="V69" s="88" t="e">
        <f>+U69/C69</f>
        <v>#DIV/0!</v>
      </c>
      <c r="W69" s="3"/>
      <c r="X69" s="3"/>
      <c r="Y69" s="3"/>
      <c r="Z69" s="3"/>
      <c r="AA69" s="3"/>
    </row>
    <row r="70" spans="1:27" s="2" customFormat="1" ht="15">
      <c r="A70" s="96" t="s">
        <v>227</v>
      </c>
      <c r="B70" s="28" t="s">
        <v>228</v>
      </c>
      <c r="C70" s="38">
        <f>40000+90000</f>
        <v>130000</v>
      </c>
      <c r="D70" s="39"/>
      <c r="E70" s="39">
        <v>0</v>
      </c>
      <c r="F70" s="39">
        <v>0</v>
      </c>
      <c r="G70" s="39">
        <v>0</v>
      </c>
      <c r="H70" s="39">
        <v>16650</v>
      </c>
      <c r="I70" s="39">
        <v>0</v>
      </c>
      <c r="J70" s="39">
        <v>0</v>
      </c>
      <c r="K70" s="39">
        <v>0</v>
      </c>
      <c r="L70" s="39">
        <v>108000</v>
      </c>
      <c r="M70" s="39"/>
      <c r="N70" s="39"/>
      <c r="O70" s="39"/>
      <c r="P70" s="39"/>
      <c r="Q70" s="87">
        <f t="shared" si="27"/>
        <v>124650</v>
      </c>
      <c r="R70" s="88">
        <f aca="true" t="shared" si="29" ref="R70:R75">+Q70/C70</f>
        <v>0.9588461538461538</v>
      </c>
      <c r="S70" s="87">
        <f aca="true" t="shared" si="30" ref="S70:S75">+C70-Q70</f>
        <v>5350</v>
      </c>
      <c r="T70" s="88">
        <f aca="true" t="shared" si="31" ref="T70:T75">+S70/C70</f>
        <v>0.04115384615384615</v>
      </c>
      <c r="U70" s="87">
        <f t="shared" si="28"/>
        <v>5350</v>
      </c>
      <c r="V70" s="88">
        <f aca="true" t="shared" si="32" ref="V70:V78">+U70/C70</f>
        <v>0.04115384615384615</v>
      </c>
      <c r="W70" s="3"/>
      <c r="X70" s="3"/>
      <c r="Y70" s="3"/>
      <c r="Z70" s="3"/>
      <c r="AA70" s="3"/>
    </row>
    <row r="71" spans="1:27" s="2" customFormat="1" ht="33.75" customHeight="1">
      <c r="A71" s="96" t="s">
        <v>206</v>
      </c>
      <c r="B71" s="28" t="s">
        <v>207</v>
      </c>
      <c r="C71" s="38">
        <f>6000*12</f>
        <v>72000</v>
      </c>
      <c r="D71" s="39"/>
      <c r="E71" s="39">
        <v>6000</v>
      </c>
      <c r="F71" s="39">
        <v>6000</v>
      </c>
      <c r="G71" s="39">
        <v>6000</v>
      </c>
      <c r="H71" s="39">
        <v>6000</v>
      </c>
      <c r="I71" s="39">
        <v>6000</v>
      </c>
      <c r="J71" s="39">
        <v>6000</v>
      </c>
      <c r="K71" s="39">
        <v>6000</v>
      </c>
      <c r="L71" s="39">
        <v>6000</v>
      </c>
      <c r="M71" s="39"/>
      <c r="N71" s="39"/>
      <c r="O71" s="39"/>
      <c r="P71" s="39"/>
      <c r="Q71" s="87">
        <f t="shared" si="27"/>
        <v>48000</v>
      </c>
      <c r="R71" s="88">
        <f t="shared" si="29"/>
        <v>0.6666666666666666</v>
      </c>
      <c r="S71" s="87">
        <f t="shared" si="30"/>
        <v>24000</v>
      </c>
      <c r="T71" s="88">
        <f t="shared" si="31"/>
        <v>0.3333333333333333</v>
      </c>
      <c r="U71" s="87">
        <f t="shared" si="28"/>
        <v>24000</v>
      </c>
      <c r="V71" s="88">
        <f t="shared" si="32"/>
        <v>0.3333333333333333</v>
      </c>
      <c r="W71" s="3"/>
      <c r="X71" s="3"/>
      <c r="Y71" s="3"/>
      <c r="Z71" s="3"/>
      <c r="AA71" s="3"/>
    </row>
    <row r="72" spans="1:27" s="2" customFormat="1" ht="17.25" customHeight="1">
      <c r="A72" s="96" t="s">
        <v>94</v>
      </c>
      <c r="B72" s="24" t="s">
        <v>195</v>
      </c>
      <c r="C72" s="39">
        <f>55000*12</f>
        <v>660000</v>
      </c>
      <c r="D72" s="39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/>
      <c r="K72" s="39">
        <v>0</v>
      </c>
      <c r="L72" s="39">
        <v>0</v>
      </c>
      <c r="M72" s="39"/>
      <c r="N72" s="39"/>
      <c r="O72" s="39"/>
      <c r="P72" s="39"/>
      <c r="Q72" s="87">
        <f t="shared" si="27"/>
        <v>0</v>
      </c>
      <c r="R72" s="88">
        <f t="shared" si="29"/>
        <v>0</v>
      </c>
      <c r="S72" s="87">
        <f t="shared" si="30"/>
        <v>660000</v>
      </c>
      <c r="T72" s="88">
        <f t="shared" si="31"/>
        <v>1</v>
      </c>
      <c r="U72" s="87">
        <f t="shared" si="28"/>
        <v>660000</v>
      </c>
      <c r="V72" s="88">
        <f t="shared" si="32"/>
        <v>1</v>
      </c>
      <c r="W72" s="3"/>
      <c r="X72" s="3"/>
      <c r="Y72" s="3"/>
      <c r="Z72" s="3"/>
      <c r="AA72" s="3"/>
    </row>
    <row r="73" spans="1:27" s="2" customFormat="1" ht="15">
      <c r="A73" s="96" t="s">
        <v>113</v>
      </c>
      <c r="B73" s="24" t="s">
        <v>114</v>
      </c>
      <c r="C73" s="39">
        <v>1500000</v>
      </c>
      <c r="D73" s="39"/>
      <c r="E73" s="39">
        <f>436353.45+111100.08+16500</f>
        <v>563953.53</v>
      </c>
      <c r="F73" s="39">
        <f>613213.78+133640.26+19800</f>
        <v>766654.04</v>
      </c>
      <c r="G73" s="39">
        <f>49302+5750015.69+96393+24216.5</f>
        <v>5919927.19</v>
      </c>
      <c r="H73" s="39">
        <v>577112.37</v>
      </c>
      <c r="I73" s="39">
        <v>18995.87</v>
      </c>
      <c r="J73" s="39">
        <v>600308.72</v>
      </c>
      <c r="K73" s="39">
        <v>735337.83</v>
      </c>
      <c r="L73" s="39">
        <v>720344.22</v>
      </c>
      <c r="M73" s="39"/>
      <c r="N73" s="39"/>
      <c r="O73" s="39"/>
      <c r="P73" s="39"/>
      <c r="Q73" s="87">
        <f t="shared" si="27"/>
        <v>9902633.770000001</v>
      </c>
      <c r="R73" s="88">
        <f t="shared" si="29"/>
        <v>6.601755846666667</v>
      </c>
      <c r="S73" s="87">
        <f t="shared" si="30"/>
        <v>-8402633.770000001</v>
      </c>
      <c r="T73" s="88">
        <f t="shared" si="31"/>
        <v>-5.601755846666667</v>
      </c>
      <c r="U73" s="87">
        <f t="shared" si="28"/>
        <v>-8402633.770000001</v>
      </c>
      <c r="V73" s="88">
        <f t="shared" si="32"/>
        <v>-5.601755846666667</v>
      </c>
      <c r="W73" s="3"/>
      <c r="X73" s="3"/>
      <c r="Y73" s="3"/>
      <c r="Z73" s="3"/>
      <c r="AA73" s="3"/>
    </row>
    <row r="74" spans="1:27" s="2" customFormat="1" ht="30">
      <c r="A74" s="103" t="s">
        <v>280</v>
      </c>
      <c r="B74" s="24" t="s">
        <v>281</v>
      </c>
      <c r="C74" s="39">
        <v>100000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64901.03</v>
      </c>
      <c r="J74" s="39">
        <v>0</v>
      </c>
      <c r="K74" s="39">
        <v>0</v>
      </c>
      <c r="L74" s="39">
        <v>0</v>
      </c>
      <c r="M74" s="39"/>
      <c r="N74" s="39"/>
      <c r="O74" s="39"/>
      <c r="P74" s="39"/>
      <c r="Q74" s="87">
        <f t="shared" si="27"/>
        <v>64901.03</v>
      </c>
      <c r="R74" s="88">
        <f t="shared" si="29"/>
        <v>0.6490103</v>
      </c>
      <c r="S74" s="87">
        <f t="shared" si="30"/>
        <v>35098.97</v>
      </c>
      <c r="T74" s="88">
        <f t="shared" si="31"/>
        <v>0.3509897</v>
      </c>
      <c r="U74" s="87">
        <f t="shared" si="28"/>
        <v>35098.97</v>
      </c>
      <c r="V74" s="88">
        <f>+U77/C74</f>
        <v>150.21109</v>
      </c>
      <c r="W74" s="3"/>
      <c r="X74" s="3"/>
      <c r="Y74" s="3"/>
      <c r="Z74" s="3"/>
      <c r="AA74" s="3"/>
    </row>
    <row r="75" spans="1:28" ht="15">
      <c r="A75" s="20" t="s">
        <v>184</v>
      </c>
      <c r="B75" s="8" t="s">
        <v>196</v>
      </c>
      <c r="C75" s="66">
        <f>+C77+C78</f>
        <v>33378349</v>
      </c>
      <c r="D75" s="66">
        <f>+D77+D78</f>
        <v>20597500</v>
      </c>
      <c r="E75" s="66">
        <f aca="true" t="shared" si="33" ref="E75:K75">+E77+E78</f>
        <v>3378349</v>
      </c>
      <c r="F75" s="66">
        <f t="shared" si="33"/>
        <v>3053736</v>
      </c>
      <c r="G75" s="66">
        <f t="shared" si="33"/>
        <v>3411798</v>
      </c>
      <c r="H75" s="66">
        <f>+H77+H78</f>
        <v>3276840</v>
      </c>
      <c r="I75" s="66">
        <f t="shared" si="33"/>
        <v>3380922</v>
      </c>
      <c r="J75" s="66">
        <f t="shared" si="33"/>
        <v>3631360</v>
      </c>
      <c r="K75" s="66">
        <f t="shared" si="33"/>
        <v>13695110</v>
      </c>
      <c r="L75" s="66">
        <f>+L77+L78</f>
        <v>5126625</v>
      </c>
      <c r="M75" s="66">
        <f>+M77+M78</f>
        <v>0</v>
      </c>
      <c r="N75" s="66">
        <f>+N77+N78</f>
        <v>0</v>
      </c>
      <c r="O75" s="66">
        <f>+O77+O78</f>
        <v>0</v>
      </c>
      <c r="P75" s="66">
        <f>+P77+P78</f>
        <v>0</v>
      </c>
      <c r="Q75" s="70">
        <f>SUM(E75:P76)</f>
        <v>38954740</v>
      </c>
      <c r="R75" s="71">
        <f t="shared" si="29"/>
        <v>1.1670661122274202</v>
      </c>
      <c r="S75" s="70">
        <f t="shared" si="30"/>
        <v>-5576391</v>
      </c>
      <c r="T75" s="71">
        <f t="shared" si="31"/>
        <v>-0.16706611222742024</v>
      </c>
      <c r="U75" s="70">
        <f>+U77+U78</f>
        <v>15021109</v>
      </c>
      <c r="V75" s="71">
        <f t="shared" si="32"/>
        <v>0.45002552403056245</v>
      </c>
      <c r="W75" s="3"/>
      <c r="X75" s="3"/>
      <c r="Y75" s="3"/>
      <c r="Z75" s="3"/>
      <c r="AA75" s="3"/>
      <c r="AB75" s="2"/>
    </row>
    <row r="76" spans="1:28" ht="17.25" customHeight="1" hidden="1">
      <c r="A76" s="92" t="s">
        <v>38</v>
      </c>
      <c r="B76" s="9" t="s">
        <v>39</v>
      </c>
      <c r="C76" s="39"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2"/>
      <c r="R76" s="52"/>
      <c r="S76" s="50">
        <v>0</v>
      </c>
      <c r="T76" s="50"/>
      <c r="U76" s="52"/>
      <c r="V76" s="52"/>
      <c r="W76" s="3"/>
      <c r="X76" s="3"/>
      <c r="Y76" s="3"/>
      <c r="Z76" s="3"/>
      <c r="AA76" s="3"/>
      <c r="AB76" s="2"/>
    </row>
    <row r="77" spans="1:28" ht="17.25" customHeight="1">
      <c r="A77" s="116" t="s">
        <v>115</v>
      </c>
      <c r="B77" s="23" t="s">
        <v>149</v>
      </c>
      <c r="C77" s="38">
        <f>3378349+30000000</f>
        <v>33378349</v>
      </c>
      <c r="D77" s="39">
        <v>20597500</v>
      </c>
      <c r="E77" s="39">
        <v>3378349</v>
      </c>
      <c r="F77" s="39">
        <v>3053736</v>
      </c>
      <c r="G77" s="39">
        <v>3411798</v>
      </c>
      <c r="H77" s="39">
        <v>3276840</v>
      </c>
      <c r="I77" s="39">
        <v>3380922</v>
      </c>
      <c r="J77" s="39">
        <v>3631360</v>
      </c>
      <c r="K77" s="39">
        <v>13695110</v>
      </c>
      <c r="L77" s="39">
        <v>5126625</v>
      </c>
      <c r="M77" s="39"/>
      <c r="N77" s="39"/>
      <c r="O77" s="39"/>
      <c r="P77" s="39"/>
      <c r="Q77" s="87">
        <f>SUM(E77:P77)</f>
        <v>38954740</v>
      </c>
      <c r="R77" s="88">
        <f>+Q77/C77</f>
        <v>1.1670661122274202</v>
      </c>
      <c r="S77" s="87">
        <f>+C77-Q77</f>
        <v>-5576391</v>
      </c>
      <c r="T77" s="88">
        <f>+S77/C77</f>
        <v>-0.16706611222742024</v>
      </c>
      <c r="U77" s="87">
        <f>+C77+D77-Q77</f>
        <v>15021109</v>
      </c>
      <c r="V77" s="88">
        <f t="shared" si="32"/>
        <v>0.45002552403056245</v>
      </c>
      <c r="W77" s="3"/>
      <c r="X77" s="3"/>
      <c r="Y77" s="3"/>
      <c r="Z77" s="3"/>
      <c r="AA77" s="3"/>
      <c r="AB77" s="2"/>
    </row>
    <row r="78" spans="1:28" s="3" customFormat="1" ht="15">
      <c r="A78" s="120" t="s">
        <v>300</v>
      </c>
      <c r="B78" s="23" t="s">
        <v>301</v>
      </c>
      <c r="C78" s="38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/>
      <c r="N78" s="39"/>
      <c r="O78" s="39"/>
      <c r="P78" s="39"/>
      <c r="Q78" s="87">
        <f>SUM(E78:P78)</f>
        <v>0</v>
      </c>
      <c r="R78" s="88" t="e">
        <f>+Q78/C78</f>
        <v>#DIV/0!</v>
      </c>
      <c r="S78" s="87">
        <f>+C78-Q78</f>
        <v>0</v>
      </c>
      <c r="T78" s="88" t="e">
        <f>+S78/C78</f>
        <v>#DIV/0!</v>
      </c>
      <c r="U78" s="87">
        <f>+C78-Q78</f>
        <v>0</v>
      </c>
      <c r="V78" s="88" t="e">
        <f t="shared" si="32"/>
        <v>#DIV/0!</v>
      </c>
      <c r="AB78" s="2"/>
    </row>
    <row r="79" spans="1:28" s="3" customFormat="1" ht="17.25" customHeight="1" hidden="1">
      <c r="A79" s="25" t="s">
        <v>40</v>
      </c>
      <c r="B79" s="27" t="s">
        <v>41</v>
      </c>
      <c r="C79" s="39"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2"/>
      <c r="R79" s="52"/>
      <c r="S79" s="50">
        <v>0</v>
      </c>
      <c r="T79" s="50"/>
      <c r="U79" s="52"/>
      <c r="V79" s="52"/>
      <c r="AB79" s="2"/>
    </row>
    <row r="80" spans="1:28" s="3" customFormat="1" ht="15">
      <c r="A80" s="20" t="s">
        <v>42</v>
      </c>
      <c r="B80" s="8" t="s">
        <v>270</v>
      </c>
      <c r="C80" s="66">
        <f>+C81+C88+C89+C90</f>
        <v>6675000</v>
      </c>
      <c r="D80" s="66">
        <f>+D81+D88+D90</f>
        <v>0</v>
      </c>
      <c r="E80" s="66">
        <f>+E81+E88+E89+E90</f>
        <v>1300</v>
      </c>
      <c r="F80" s="66">
        <f>+F81+F88+F90</f>
        <v>0</v>
      </c>
      <c r="G80" s="66">
        <f>+G81+G88+G90</f>
        <v>0</v>
      </c>
      <c r="H80" s="66">
        <f>+H81+H88+H90</f>
        <v>0</v>
      </c>
      <c r="I80" s="66">
        <f>+I81+I88+I90</f>
        <v>0</v>
      </c>
      <c r="J80" s="66">
        <f>SUM(J81:J81)</f>
        <v>1381</v>
      </c>
      <c r="K80" s="66">
        <f>+K81+K88+K89+K90</f>
        <v>2205429.95</v>
      </c>
      <c r="L80" s="66">
        <f>+L81+L88+L89+L90</f>
        <v>882887.8</v>
      </c>
      <c r="M80" s="66">
        <f>+M81+M88+M90</f>
        <v>0</v>
      </c>
      <c r="N80" s="66">
        <f>+N81+N88+N89+N90</f>
        <v>0</v>
      </c>
      <c r="O80" s="66">
        <f>+O81+O88+O89+O90</f>
        <v>0</v>
      </c>
      <c r="P80" s="66">
        <f>+P81+P88+P89+P90</f>
        <v>0</v>
      </c>
      <c r="Q80" s="70">
        <f>SUM(E80:P80)</f>
        <v>3090998.75</v>
      </c>
      <c r="R80" s="71">
        <f>+Q80/C80</f>
        <v>0.4630709737827715</v>
      </c>
      <c r="S80" s="70">
        <f>+C80-Q80</f>
        <v>3584001.25</v>
      </c>
      <c r="T80" s="71">
        <f>+S80/C80</f>
        <v>0.5369290262172285</v>
      </c>
      <c r="U80" s="70">
        <f>+U81+U88+U89+U90</f>
        <v>3584001.25</v>
      </c>
      <c r="V80" s="68">
        <f>+U80/C80</f>
        <v>0.5369290262172285</v>
      </c>
      <c r="AB80" s="2"/>
    </row>
    <row r="81" spans="1:28" s="3" customFormat="1" ht="15">
      <c r="A81" s="124" t="s">
        <v>116</v>
      </c>
      <c r="B81" s="22" t="s">
        <v>139</v>
      </c>
      <c r="C81" s="38">
        <v>15000</v>
      </c>
      <c r="D81" s="39"/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1381</v>
      </c>
      <c r="K81" s="39">
        <v>304.95</v>
      </c>
      <c r="L81" s="39">
        <v>837.8</v>
      </c>
      <c r="M81" s="39"/>
      <c r="N81" s="39"/>
      <c r="O81" s="39"/>
      <c r="P81" s="39"/>
      <c r="Q81" s="87">
        <f aca="true" t="shared" si="34" ref="Q81:Q114">SUM(E81:P81)</f>
        <v>2523.75</v>
      </c>
      <c r="R81" s="88">
        <f>+Q81/C81</f>
        <v>0.16825</v>
      </c>
      <c r="S81" s="87">
        <f>+C81-Q81</f>
        <v>12476.25</v>
      </c>
      <c r="T81" s="88">
        <f>+S81/C81</f>
        <v>0.83175</v>
      </c>
      <c r="U81" s="87">
        <f>+C81+D81-Q81</f>
        <v>12476.25</v>
      </c>
      <c r="V81" s="88">
        <f>+U81/C81</f>
        <v>0.83175</v>
      </c>
      <c r="AB81" s="2"/>
    </row>
    <row r="82" spans="1:28" s="3" customFormat="1" ht="17.25" customHeight="1" hidden="1">
      <c r="A82" s="97" t="s">
        <v>96</v>
      </c>
      <c r="B82" s="23" t="s">
        <v>44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87">
        <f t="shared" si="34"/>
        <v>0</v>
      </c>
      <c r="R82" s="88" t="e">
        <f>+Q82/C82</f>
        <v>#DIV/0!</v>
      </c>
      <c r="S82" s="87">
        <f>+C82-Q82</f>
        <v>0</v>
      </c>
      <c r="T82" s="88" t="e">
        <f>+S82/C82</f>
        <v>#DIV/0!</v>
      </c>
      <c r="U82" s="87">
        <f aca="true" t="shared" si="35" ref="U82:U87">+C79+D79-Q79</f>
        <v>0</v>
      </c>
      <c r="V82" s="88" t="e">
        <f>+U82/#REF!</f>
        <v>#REF!</v>
      </c>
      <c r="AB82" s="2"/>
    </row>
    <row r="83" spans="1:28" s="12" customFormat="1" ht="17.25" customHeight="1" hidden="1">
      <c r="A83" s="20" t="s">
        <v>45</v>
      </c>
      <c r="B83" s="8" t="s">
        <v>46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87">
        <f t="shared" si="34"/>
        <v>0</v>
      </c>
      <c r="R83" s="87"/>
      <c r="S83" s="87"/>
      <c r="T83" s="87"/>
      <c r="U83" s="87">
        <f t="shared" si="35"/>
        <v>3584001.25</v>
      </c>
      <c r="V83" s="87"/>
      <c r="W83" s="1"/>
      <c r="X83" s="1"/>
      <c r="Y83" s="1"/>
      <c r="Z83" s="1"/>
      <c r="AA83" s="1"/>
      <c r="AB83" s="1"/>
    </row>
    <row r="84" spans="1:28" s="10" customFormat="1" ht="17.25" customHeight="1" hidden="1">
      <c r="A84" s="92" t="s">
        <v>47</v>
      </c>
      <c r="B84" s="9" t="s">
        <v>48</v>
      </c>
      <c r="C84" s="4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7"/>
      <c r="S84" s="89">
        <v>0</v>
      </c>
      <c r="T84" s="89"/>
      <c r="U84" s="87">
        <f t="shared" si="35"/>
        <v>12476.25</v>
      </c>
      <c r="V84" s="87"/>
      <c r="W84" s="1"/>
      <c r="X84" s="1"/>
      <c r="Y84" s="1"/>
      <c r="Z84" s="1"/>
      <c r="AA84" s="1"/>
      <c r="AB84" s="1"/>
    </row>
    <row r="85" spans="1:28" s="3" customFormat="1" ht="17.25" customHeight="1" hidden="1">
      <c r="A85" s="92" t="s">
        <v>49</v>
      </c>
      <c r="B85" s="9" t="s">
        <v>50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4"/>
        <v>0</v>
      </c>
      <c r="R85" s="87"/>
      <c r="S85" s="87"/>
      <c r="T85" s="87"/>
      <c r="U85" s="87">
        <f t="shared" si="35"/>
        <v>0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51</v>
      </c>
      <c r="B86" s="9" t="s">
        <v>52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7"/>
      <c r="T86" s="87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10" customFormat="1" ht="69" customHeight="1" hidden="1">
      <c r="A87" s="92" t="s">
        <v>53</v>
      </c>
      <c r="B87" s="9" t="s">
        <v>54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4"/>
        <v>0</v>
      </c>
      <c r="R87" s="87"/>
      <c r="S87" s="87"/>
      <c r="T87" s="87"/>
      <c r="U87" s="87">
        <f t="shared" si="3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5">
      <c r="A88" s="92" t="s">
        <v>95</v>
      </c>
      <c r="B88" s="9" t="s">
        <v>43</v>
      </c>
      <c r="C88" s="39">
        <f>435000*12</f>
        <v>5220000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2205125</v>
      </c>
      <c r="L88" s="39">
        <v>882050</v>
      </c>
      <c r="M88" s="39"/>
      <c r="N88" s="39"/>
      <c r="O88" s="39"/>
      <c r="P88" s="39"/>
      <c r="Q88" s="87">
        <f t="shared" si="34"/>
        <v>3087175</v>
      </c>
      <c r="R88" s="88">
        <f>+Q88/C88</f>
        <v>0.5914128352490421</v>
      </c>
      <c r="S88" s="87">
        <f aca="true" t="shared" si="36" ref="S88:S114">+C88-Q88</f>
        <v>2132825</v>
      </c>
      <c r="T88" s="88">
        <f aca="true" t="shared" si="37" ref="T88:T114">+S88/C88</f>
        <v>0.40858716475095785</v>
      </c>
      <c r="U88" s="87">
        <f aca="true" t="shared" si="38" ref="U88:U114">+C88+D88-Q88</f>
        <v>2132825</v>
      </c>
      <c r="V88" s="88">
        <f aca="true" t="shared" si="39" ref="V88:V94">+U88/C88</f>
        <v>0.40858716475095785</v>
      </c>
      <c r="W88" s="1"/>
      <c r="X88" s="1"/>
      <c r="Y88" s="1"/>
      <c r="Z88" s="1"/>
      <c r="AA88" s="1"/>
      <c r="AB88" s="1"/>
    </row>
    <row r="89" spans="1:28" s="10" customFormat="1" ht="15">
      <c r="A89" s="122" t="s">
        <v>308</v>
      </c>
      <c r="B89" s="9" t="s">
        <v>309</v>
      </c>
      <c r="C89" s="39">
        <f>120000*12</f>
        <v>1440000</v>
      </c>
      <c r="D89" s="39"/>
      <c r="E89" s="39">
        <v>1300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/>
      <c r="N89" s="39"/>
      <c r="O89" s="39"/>
      <c r="P89" s="39"/>
      <c r="Q89" s="87">
        <f t="shared" si="34"/>
        <v>1300</v>
      </c>
      <c r="R89" s="88">
        <f>+Q89/C89</f>
        <v>0.0009027777777777777</v>
      </c>
      <c r="S89" s="87">
        <f>+C89-Q89</f>
        <v>1438700</v>
      </c>
      <c r="T89" s="88">
        <f>+S89/C89</f>
        <v>0.9990972222222222</v>
      </c>
      <c r="U89" s="87">
        <f t="shared" si="38"/>
        <v>1438700</v>
      </c>
      <c r="V89" s="88">
        <f t="shared" si="39"/>
        <v>0.9990972222222222</v>
      </c>
      <c r="W89" s="1"/>
      <c r="X89" s="1"/>
      <c r="Y89" s="1"/>
      <c r="Z89" s="1"/>
      <c r="AA89" s="1"/>
      <c r="AB89" s="1"/>
    </row>
    <row r="90" spans="1:28" s="10" customFormat="1" ht="15">
      <c r="A90" s="92" t="s">
        <v>96</v>
      </c>
      <c r="B90" s="9" t="s">
        <v>208</v>
      </c>
      <c r="C90" s="39">
        <v>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/>
      <c r="N90" s="39"/>
      <c r="O90" s="39"/>
      <c r="P90" s="39"/>
      <c r="Q90" s="87">
        <f t="shared" si="34"/>
        <v>0</v>
      </c>
      <c r="R90" s="88" t="e">
        <f>+Q90/C90</f>
        <v>#DIV/0!</v>
      </c>
      <c r="S90" s="87">
        <f t="shared" si="36"/>
        <v>0</v>
      </c>
      <c r="T90" s="88" t="e">
        <f t="shared" si="37"/>
        <v>#DIV/0!</v>
      </c>
      <c r="U90" s="87">
        <f t="shared" si="38"/>
        <v>0</v>
      </c>
      <c r="V90" s="88" t="e">
        <f t="shared" si="39"/>
        <v>#DIV/0!</v>
      </c>
      <c r="W90" s="1"/>
      <c r="X90" s="1"/>
      <c r="Y90" s="1"/>
      <c r="Z90" s="1"/>
      <c r="AA90" s="1"/>
      <c r="AB90" s="1"/>
    </row>
    <row r="91" spans="1:22" s="13" customFormat="1" ht="15">
      <c r="A91" s="20" t="s">
        <v>45</v>
      </c>
      <c r="B91" s="8" t="s">
        <v>197</v>
      </c>
      <c r="C91" s="66">
        <f>+C92+C93+C94+C95</f>
        <v>1652000</v>
      </c>
      <c r="D91" s="66">
        <f>+D92+D93+D94+D95</f>
        <v>7595498.23</v>
      </c>
      <c r="E91" s="66">
        <f>+E93+E94+E95</f>
        <v>942195.18</v>
      </c>
      <c r="F91" s="66">
        <f>+F92+F93+F94+F95</f>
        <v>353505.45</v>
      </c>
      <c r="G91" s="66">
        <f aca="true" t="shared" si="40" ref="G91:P91">+G92+G93+G94+G95</f>
        <v>2193705</v>
      </c>
      <c r="H91" s="66">
        <f>+H92+H93+H94+H95</f>
        <v>316097.6</v>
      </c>
      <c r="I91" s="66">
        <f t="shared" si="40"/>
        <v>125</v>
      </c>
      <c r="J91" s="66">
        <f t="shared" si="40"/>
        <v>151925</v>
      </c>
      <c r="K91" s="66">
        <f t="shared" si="40"/>
        <v>0</v>
      </c>
      <c r="L91" s="66">
        <f>+L92+L93+L94+L95</f>
        <v>456699.01</v>
      </c>
      <c r="M91" s="66">
        <f t="shared" si="40"/>
        <v>0</v>
      </c>
      <c r="N91" s="66">
        <f t="shared" si="40"/>
        <v>0</v>
      </c>
      <c r="O91" s="66">
        <f t="shared" si="40"/>
        <v>0</v>
      </c>
      <c r="P91" s="66">
        <f t="shared" si="40"/>
        <v>0</v>
      </c>
      <c r="Q91" s="70">
        <f>SUM(E91:P91)</f>
        <v>4414252.24</v>
      </c>
      <c r="R91" s="71">
        <f>+Q91/(C91+D91)</f>
        <v>0.47734556203315975</v>
      </c>
      <c r="S91" s="70">
        <f t="shared" si="36"/>
        <v>-2762252.24</v>
      </c>
      <c r="T91" s="71">
        <f t="shared" si="37"/>
        <v>-1.672065520581114</v>
      </c>
      <c r="U91" s="70">
        <f>+U92+U93+U94+U95</f>
        <v>4833245.99</v>
      </c>
      <c r="V91" s="68">
        <f t="shared" si="39"/>
        <v>2.9256936985472155</v>
      </c>
    </row>
    <row r="92" spans="1:22" s="13" customFormat="1" ht="15">
      <c r="A92" s="97" t="s">
        <v>209</v>
      </c>
      <c r="B92" s="23" t="s">
        <v>210</v>
      </c>
      <c r="C92" s="39">
        <v>1000</v>
      </c>
      <c r="D92" s="39"/>
      <c r="E92" s="39">
        <v>0</v>
      </c>
      <c r="F92" s="38">
        <v>0</v>
      </c>
      <c r="G92" s="38">
        <v>0</v>
      </c>
      <c r="H92" s="38">
        <v>0</v>
      </c>
      <c r="I92" s="38">
        <v>50</v>
      </c>
      <c r="J92" s="38">
        <v>0</v>
      </c>
      <c r="K92" s="38">
        <v>0</v>
      </c>
      <c r="L92" s="38">
        <v>0</v>
      </c>
      <c r="M92" s="38"/>
      <c r="N92" s="38"/>
      <c r="O92" s="38"/>
      <c r="P92" s="38"/>
      <c r="Q92" s="87">
        <f t="shared" si="34"/>
        <v>50</v>
      </c>
      <c r="R92" s="88">
        <f>+Q92/C92</f>
        <v>0.05</v>
      </c>
      <c r="S92" s="87">
        <f t="shared" si="36"/>
        <v>950</v>
      </c>
      <c r="T92" s="88">
        <f t="shared" si="37"/>
        <v>0.95</v>
      </c>
      <c r="U92" s="87">
        <f t="shared" si="38"/>
        <v>950</v>
      </c>
      <c r="V92" s="88">
        <f t="shared" si="39"/>
        <v>0.95</v>
      </c>
    </row>
    <row r="93" spans="1:28" s="3" customFormat="1" ht="15">
      <c r="A93" s="97" t="s">
        <v>124</v>
      </c>
      <c r="B93" s="23" t="s">
        <v>50</v>
      </c>
      <c r="C93" s="39">
        <f>1000+500000</f>
        <v>501000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75</v>
      </c>
      <c r="J93" s="38">
        <v>0</v>
      </c>
      <c r="K93" s="38">
        <v>0</v>
      </c>
      <c r="L93" s="38">
        <v>456699.01</v>
      </c>
      <c r="M93" s="38"/>
      <c r="N93" s="38"/>
      <c r="O93" s="38"/>
      <c r="P93" s="38"/>
      <c r="Q93" s="87">
        <f t="shared" si="34"/>
        <v>456774.01</v>
      </c>
      <c r="R93" s="88">
        <f>+Q93/C93</f>
        <v>0.9117245708582834</v>
      </c>
      <c r="S93" s="87">
        <f t="shared" si="36"/>
        <v>44225.98999999999</v>
      </c>
      <c r="T93" s="88">
        <f t="shared" si="37"/>
        <v>0.08827542914171654</v>
      </c>
      <c r="U93" s="87">
        <f t="shared" si="38"/>
        <v>44225.98999999999</v>
      </c>
      <c r="V93" s="88">
        <f t="shared" si="39"/>
        <v>0.08827542914171654</v>
      </c>
      <c r="AB93" s="2"/>
    </row>
    <row r="94" spans="1:28" s="3" customFormat="1" ht="15">
      <c r="A94" s="95" t="s">
        <v>125</v>
      </c>
      <c r="B94" s="22" t="s">
        <v>150</v>
      </c>
      <c r="C94" s="38">
        <f>950000+200000</f>
        <v>1150000</v>
      </c>
      <c r="D94" s="38">
        <f>2539405.63+316097.6+4739995</f>
        <v>7595498.23</v>
      </c>
      <c r="E94" s="38">
        <v>942195.18</v>
      </c>
      <c r="F94" s="38">
        <v>353505.45</v>
      </c>
      <c r="G94" s="38">
        <v>2193705</v>
      </c>
      <c r="H94" s="38">
        <v>316097.6</v>
      </c>
      <c r="I94" s="38">
        <v>0</v>
      </c>
      <c r="J94" s="38">
        <v>151925</v>
      </c>
      <c r="K94" s="38">
        <v>0</v>
      </c>
      <c r="L94" s="38">
        <v>0</v>
      </c>
      <c r="M94" s="38"/>
      <c r="N94" s="38"/>
      <c r="O94" s="38"/>
      <c r="P94" s="38"/>
      <c r="Q94" s="87">
        <f t="shared" si="34"/>
        <v>3957428.23</v>
      </c>
      <c r="R94" s="88">
        <f>+(C94+D94)/Q94</f>
        <v>2.2098943358475007</v>
      </c>
      <c r="S94" s="87">
        <f t="shared" si="36"/>
        <v>-2807428.23</v>
      </c>
      <c r="T94" s="88">
        <f t="shared" si="37"/>
        <v>-2.441241939130435</v>
      </c>
      <c r="U94" s="87">
        <f t="shared" si="38"/>
        <v>4788070</v>
      </c>
      <c r="V94" s="88">
        <f t="shared" si="39"/>
        <v>4.163539130434782</v>
      </c>
      <c r="AB94" s="2"/>
    </row>
    <row r="95" spans="1:28" s="3" customFormat="1" ht="15">
      <c r="A95" s="95" t="s">
        <v>126</v>
      </c>
      <c r="B95" s="22" t="s">
        <v>54</v>
      </c>
      <c r="C95" s="38">
        <v>0</v>
      </c>
      <c r="D95" s="38"/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/>
      <c r="N95" s="38"/>
      <c r="O95" s="38"/>
      <c r="P95" s="38"/>
      <c r="Q95" s="87">
        <f t="shared" si="34"/>
        <v>0</v>
      </c>
      <c r="R95" s="88" t="e">
        <f>+Q95/(D95+C95)</f>
        <v>#DIV/0!</v>
      </c>
      <c r="S95" s="87">
        <f t="shared" si="36"/>
        <v>0</v>
      </c>
      <c r="T95" s="88" t="e">
        <f t="shared" si="37"/>
        <v>#DIV/0!</v>
      </c>
      <c r="U95" s="87">
        <f t="shared" si="38"/>
        <v>0</v>
      </c>
      <c r="V95" s="88" t="e">
        <f aca="true" t="shared" si="41" ref="V95:V114">+U95/C95</f>
        <v>#DIV/0!</v>
      </c>
      <c r="AB95" s="2"/>
    </row>
    <row r="96" spans="1:28" s="3" customFormat="1" ht="15">
      <c r="A96" s="20" t="s">
        <v>213</v>
      </c>
      <c r="B96" s="8" t="s">
        <v>214</v>
      </c>
      <c r="C96" s="66">
        <f>+C97+C98+C99+C100</f>
        <v>1222930</v>
      </c>
      <c r="D96" s="66">
        <f>+D97+D98+D99+D100</f>
        <v>0</v>
      </c>
      <c r="E96" s="66">
        <f>+E97+E98+E99+E100</f>
        <v>0</v>
      </c>
      <c r="F96" s="66">
        <f>+F97+F98+F99+F100</f>
        <v>187918</v>
      </c>
      <c r="G96" s="66">
        <f aca="true" t="shared" si="42" ref="G96:L96">+G97+G98+G99+G100</f>
        <v>0</v>
      </c>
      <c r="H96" s="66">
        <f>+H97+H98+H99+H100</f>
        <v>0</v>
      </c>
      <c r="I96" s="66">
        <f t="shared" si="42"/>
        <v>0</v>
      </c>
      <c r="J96" s="66">
        <f t="shared" si="42"/>
        <v>387800</v>
      </c>
      <c r="K96" s="66">
        <f t="shared" si="42"/>
        <v>22461.16</v>
      </c>
      <c r="L96" s="66">
        <f t="shared" si="42"/>
        <v>2510</v>
      </c>
      <c r="M96" s="66">
        <f>+M97+M98+M99+M100</f>
        <v>0</v>
      </c>
      <c r="N96" s="66">
        <f>+N97+N98+N99+N100</f>
        <v>0</v>
      </c>
      <c r="O96" s="66">
        <f>+O97+O98+O99+O100</f>
        <v>0</v>
      </c>
      <c r="P96" s="66">
        <f>+P97+P98+P99+P100</f>
        <v>0</v>
      </c>
      <c r="Q96" s="70">
        <f>SUM(E96:P96)</f>
        <v>600689.16</v>
      </c>
      <c r="R96" s="71">
        <f aca="true" t="shared" si="43" ref="R96:R109">+Q96/C96</f>
        <v>0.49118850629226535</v>
      </c>
      <c r="S96" s="70">
        <f t="shared" si="36"/>
        <v>622240.84</v>
      </c>
      <c r="T96" s="71">
        <f t="shared" si="37"/>
        <v>0.5088114937077347</v>
      </c>
      <c r="U96" s="70">
        <f>+C96+D96-Q96</f>
        <v>622240.84</v>
      </c>
      <c r="V96" s="68">
        <f t="shared" si="41"/>
        <v>0.5088114937077347</v>
      </c>
      <c r="AB96" s="2"/>
    </row>
    <row r="97" spans="1:28" s="3" customFormat="1" ht="15">
      <c r="A97" s="95" t="s">
        <v>229</v>
      </c>
      <c r="B97" s="22" t="s">
        <v>230</v>
      </c>
      <c r="C97" s="39">
        <f>100000*12-400000-127070-300000</f>
        <v>372930</v>
      </c>
      <c r="D97" s="39"/>
      <c r="E97" s="39">
        <v>0</v>
      </c>
      <c r="F97" s="39">
        <v>36108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/>
      <c r="N97" s="39"/>
      <c r="O97" s="39"/>
      <c r="P97" s="39"/>
      <c r="Q97" s="87">
        <f t="shared" si="34"/>
        <v>36108</v>
      </c>
      <c r="R97" s="88">
        <f t="shared" si="43"/>
        <v>0.09682245997908455</v>
      </c>
      <c r="S97" s="87">
        <f t="shared" si="36"/>
        <v>336822</v>
      </c>
      <c r="T97" s="88">
        <f t="shared" si="37"/>
        <v>0.9031775400209154</v>
      </c>
      <c r="U97" s="87">
        <f t="shared" si="38"/>
        <v>336822</v>
      </c>
      <c r="V97" s="88">
        <f t="shared" si="41"/>
        <v>0.9031775400209154</v>
      </c>
      <c r="AB97" s="2"/>
    </row>
    <row r="98" spans="1:28" s="3" customFormat="1" ht="15">
      <c r="A98" s="95" t="s">
        <v>231</v>
      </c>
      <c r="B98" s="22" t="s">
        <v>232</v>
      </c>
      <c r="C98" s="39">
        <f>50000*12-300000-100000+200000</f>
        <v>400000</v>
      </c>
      <c r="D98" s="39"/>
      <c r="E98" s="39">
        <v>0</v>
      </c>
      <c r="F98" s="39">
        <v>129685</v>
      </c>
      <c r="G98" s="39">
        <v>0</v>
      </c>
      <c r="H98" s="39">
        <v>0</v>
      </c>
      <c r="I98" s="39">
        <v>0</v>
      </c>
      <c r="J98" s="39">
        <v>188800</v>
      </c>
      <c r="K98" s="39">
        <v>2461.16</v>
      </c>
      <c r="L98" s="39">
        <v>150</v>
      </c>
      <c r="M98" s="39"/>
      <c r="N98" s="39"/>
      <c r="O98" s="39"/>
      <c r="P98" s="39"/>
      <c r="Q98" s="87">
        <f t="shared" si="34"/>
        <v>321096.16</v>
      </c>
      <c r="R98" s="88">
        <f t="shared" si="43"/>
        <v>0.8027403999999999</v>
      </c>
      <c r="S98" s="87">
        <f t="shared" si="36"/>
        <v>78903.84000000003</v>
      </c>
      <c r="T98" s="88">
        <f t="shared" si="37"/>
        <v>0.19725960000000006</v>
      </c>
      <c r="U98" s="87">
        <f t="shared" si="38"/>
        <v>78903.84000000003</v>
      </c>
      <c r="V98" s="88">
        <f t="shared" si="41"/>
        <v>0.19725960000000006</v>
      </c>
      <c r="AB98" s="2"/>
    </row>
    <row r="99" spans="1:28" s="3" customFormat="1" ht="15">
      <c r="A99" s="95" t="s">
        <v>233</v>
      </c>
      <c r="B99" s="22" t="s">
        <v>234</v>
      </c>
      <c r="C99" s="39">
        <f>35000*12-200000</f>
        <v>220000</v>
      </c>
      <c r="D99" s="39"/>
      <c r="E99" s="39">
        <v>0</v>
      </c>
      <c r="F99" s="39">
        <v>22125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2360</v>
      </c>
      <c r="M99" s="39"/>
      <c r="N99" s="39"/>
      <c r="O99" s="39"/>
      <c r="P99" s="39"/>
      <c r="Q99" s="87">
        <f t="shared" si="34"/>
        <v>24485</v>
      </c>
      <c r="R99" s="88">
        <f t="shared" si="43"/>
        <v>0.11129545454545454</v>
      </c>
      <c r="S99" s="87">
        <f t="shared" si="36"/>
        <v>195515</v>
      </c>
      <c r="T99" s="88">
        <f t="shared" si="37"/>
        <v>0.8887045454545455</v>
      </c>
      <c r="U99" s="87">
        <f t="shared" si="38"/>
        <v>195515</v>
      </c>
      <c r="V99" s="88">
        <f t="shared" si="41"/>
        <v>0.8887045454545455</v>
      </c>
      <c r="AB99" s="2"/>
    </row>
    <row r="100" spans="1:28" s="3" customFormat="1" ht="15">
      <c r="A100" s="95" t="s">
        <v>212</v>
      </c>
      <c r="B100" s="22" t="s">
        <v>211</v>
      </c>
      <c r="C100" s="39">
        <f>30000*12-50000-100000+20000</f>
        <v>230000</v>
      </c>
      <c r="D100" s="39"/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199000</v>
      </c>
      <c r="K100" s="39">
        <v>20000</v>
      </c>
      <c r="L100" s="39">
        <v>0</v>
      </c>
      <c r="M100" s="39"/>
      <c r="N100" s="39"/>
      <c r="O100" s="39"/>
      <c r="P100" s="39"/>
      <c r="Q100" s="87">
        <f t="shared" si="34"/>
        <v>219000</v>
      </c>
      <c r="R100" s="88">
        <f t="shared" si="43"/>
        <v>0.9521739130434783</v>
      </c>
      <c r="S100" s="87">
        <f t="shared" si="36"/>
        <v>11000</v>
      </c>
      <c r="T100" s="88">
        <f t="shared" si="37"/>
        <v>0.04782608695652174</v>
      </c>
      <c r="U100" s="87">
        <f t="shared" si="38"/>
        <v>11000</v>
      </c>
      <c r="V100" s="88">
        <f t="shared" si="41"/>
        <v>0.04782608695652174</v>
      </c>
      <c r="AB100" s="2"/>
    </row>
    <row r="101" spans="1:28" s="3" customFormat="1" ht="15">
      <c r="A101" s="20" t="s">
        <v>217</v>
      </c>
      <c r="B101" s="8" t="s">
        <v>218</v>
      </c>
      <c r="C101" s="66">
        <f>+C102+C103</f>
        <v>4747070</v>
      </c>
      <c r="D101" s="66">
        <f>+D102+D103</f>
        <v>2605930</v>
      </c>
      <c r="E101" s="66">
        <f>+E102+E103</f>
        <v>0</v>
      </c>
      <c r="F101" s="66">
        <f>+F102</f>
        <v>3153000</v>
      </c>
      <c r="G101" s="66">
        <f aca="true" t="shared" si="44" ref="G101:L101">+G102</f>
        <v>0</v>
      </c>
      <c r="H101" s="66">
        <f>+H102+H103</f>
        <v>0</v>
      </c>
      <c r="I101" s="66">
        <f>+I102+I103</f>
        <v>0</v>
      </c>
      <c r="J101" s="66">
        <f t="shared" si="44"/>
        <v>3297982</v>
      </c>
      <c r="K101" s="66">
        <f t="shared" si="44"/>
        <v>0</v>
      </c>
      <c r="L101" s="66">
        <f t="shared" si="44"/>
        <v>0</v>
      </c>
      <c r="M101" s="66">
        <f>+M102+M103</f>
        <v>0</v>
      </c>
      <c r="N101" s="66">
        <f>+N102+N103</f>
        <v>0</v>
      </c>
      <c r="O101" s="66">
        <f>+O102+O103</f>
        <v>0</v>
      </c>
      <c r="P101" s="66">
        <f>+P102+P103</f>
        <v>0</v>
      </c>
      <c r="Q101" s="70">
        <f>SUM(E101:P101)</f>
        <v>6450982</v>
      </c>
      <c r="R101" s="71">
        <f t="shared" si="43"/>
        <v>1.358939724925059</v>
      </c>
      <c r="S101" s="70">
        <f t="shared" si="36"/>
        <v>-1703912</v>
      </c>
      <c r="T101" s="71">
        <f t="shared" si="37"/>
        <v>-0.35893972492505904</v>
      </c>
      <c r="U101" s="70">
        <f>+C101+D101-Q101</f>
        <v>902018</v>
      </c>
      <c r="V101" s="68">
        <f t="shared" si="41"/>
        <v>0.1900157360224307</v>
      </c>
      <c r="AB101" s="2"/>
    </row>
    <row r="102" spans="1:28" s="3" customFormat="1" ht="15">
      <c r="A102" s="95" t="s">
        <v>216</v>
      </c>
      <c r="B102" s="22" t="s">
        <v>215</v>
      </c>
      <c r="C102" s="39">
        <f>35000*12+127070+4000000</f>
        <v>4547070</v>
      </c>
      <c r="D102" s="39">
        <v>2605930</v>
      </c>
      <c r="E102" s="39">
        <v>0</v>
      </c>
      <c r="F102" s="39">
        <v>3153000</v>
      </c>
      <c r="G102" s="39">
        <v>0</v>
      </c>
      <c r="H102" s="39">
        <v>0</v>
      </c>
      <c r="I102" s="39">
        <v>0</v>
      </c>
      <c r="J102" s="39">
        <v>3297982</v>
      </c>
      <c r="K102" s="39">
        <v>0</v>
      </c>
      <c r="L102" s="39">
        <v>0</v>
      </c>
      <c r="M102" s="39"/>
      <c r="N102" s="39"/>
      <c r="O102" s="39"/>
      <c r="P102" s="39"/>
      <c r="Q102" s="87">
        <f t="shared" si="34"/>
        <v>6450982</v>
      </c>
      <c r="R102" s="88">
        <f t="shared" si="43"/>
        <v>1.4187118298156836</v>
      </c>
      <c r="S102" s="87">
        <f t="shared" si="36"/>
        <v>-1903912</v>
      </c>
      <c r="T102" s="88">
        <f t="shared" si="37"/>
        <v>-0.4187118298156835</v>
      </c>
      <c r="U102" s="87">
        <f t="shared" si="38"/>
        <v>702018</v>
      </c>
      <c r="V102" s="88">
        <f t="shared" si="41"/>
        <v>0.15438909011737229</v>
      </c>
      <c r="AB102" s="2"/>
    </row>
    <row r="103" spans="1:28" s="3" customFormat="1" ht="15">
      <c r="A103" s="95" t="s">
        <v>256</v>
      </c>
      <c r="B103" s="22" t="s">
        <v>255</v>
      </c>
      <c r="C103" s="39">
        <f>50000*12-400000</f>
        <v>200000</v>
      </c>
      <c r="D103" s="39"/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/>
      <c r="N103" s="39"/>
      <c r="O103" s="39"/>
      <c r="P103" s="39"/>
      <c r="Q103" s="87">
        <f t="shared" si="34"/>
        <v>0</v>
      </c>
      <c r="R103" s="88">
        <f t="shared" si="43"/>
        <v>0</v>
      </c>
      <c r="S103" s="87">
        <f t="shared" si="36"/>
        <v>200000</v>
      </c>
      <c r="T103" s="88">
        <f t="shared" si="37"/>
        <v>1</v>
      </c>
      <c r="U103" s="87">
        <f t="shared" si="38"/>
        <v>200000</v>
      </c>
      <c r="V103" s="88">
        <f t="shared" si="41"/>
        <v>1</v>
      </c>
      <c r="AB103" s="2"/>
    </row>
    <row r="104" spans="1:28" s="12" customFormat="1" ht="15">
      <c r="A104" s="20" t="s">
        <v>55</v>
      </c>
      <c r="B104" s="8" t="s">
        <v>198</v>
      </c>
      <c r="C104" s="66">
        <f>+C106+C107+C108</f>
        <v>2060000</v>
      </c>
      <c r="D104" s="66">
        <f>+D106+D107+D108</f>
        <v>0</v>
      </c>
      <c r="E104" s="66">
        <f>+E105+E106+E107+E108</f>
        <v>7534.97</v>
      </c>
      <c r="F104" s="66">
        <f>+F106+F108</f>
        <v>160577.6</v>
      </c>
      <c r="G104" s="66">
        <f>+G105+G106+G107+G108</f>
        <v>3633.53</v>
      </c>
      <c r="H104" s="66">
        <f>+H106+H107+H108</f>
        <v>4045</v>
      </c>
      <c r="I104" s="66">
        <f>+I106+I107+I108</f>
        <v>129728.48999999999</v>
      </c>
      <c r="J104" s="66">
        <f>+J105+J106+J107+J108</f>
        <v>188.51</v>
      </c>
      <c r="K104" s="66">
        <f>+K106+K107+K108</f>
        <v>912.98</v>
      </c>
      <c r="L104" s="66">
        <f>+L106+L108</f>
        <v>0</v>
      </c>
      <c r="M104" s="66">
        <f>+M106+M107+M108</f>
        <v>0</v>
      </c>
      <c r="N104" s="66">
        <f>+N106+N107+N108</f>
        <v>0</v>
      </c>
      <c r="O104" s="66">
        <f>+O106+O107+O108</f>
        <v>0</v>
      </c>
      <c r="P104" s="66">
        <f>+P105+P106+P107+P108</f>
        <v>0</v>
      </c>
      <c r="Q104" s="70">
        <f>SUM(E104:P104)</f>
        <v>306621.07999999996</v>
      </c>
      <c r="R104" s="71">
        <f t="shared" si="43"/>
        <v>0.1488451844660194</v>
      </c>
      <c r="S104" s="70">
        <f t="shared" si="36"/>
        <v>1753378.92</v>
      </c>
      <c r="T104" s="71">
        <f t="shared" si="37"/>
        <v>0.8511548155339805</v>
      </c>
      <c r="U104" s="70">
        <f>+U106+U107+U108</f>
        <v>1753378.92</v>
      </c>
      <c r="V104" s="68">
        <f t="shared" si="41"/>
        <v>0.8511548155339805</v>
      </c>
      <c r="W104" s="1"/>
      <c r="X104" s="1"/>
      <c r="Y104" s="1"/>
      <c r="Z104" s="1"/>
      <c r="AA104" s="1"/>
      <c r="AB104" s="1"/>
    </row>
    <row r="105" spans="1:28" s="12" customFormat="1" ht="15">
      <c r="A105" s="130" t="s">
        <v>319</v>
      </c>
      <c r="B105" s="22" t="s">
        <v>316</v>
      </c>
      <c r="C105" s="39">
        <v>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/>
      <c r="N105" s="39"/>
      <c r="O105" s="39"/>
      <c r="P105" s="39"/>
      <c r="Q105" s="87">
        <f t="shared" si="34"/>
        <v>0</v>
      </c>
      <c r="R105" s="88" t="e">
        <f>+Q105/C105</f>
        <v>#DIV/0!</v>
      </c>
      <c r="S105" s="87">
        <f>+C105-Q105</f>
        <v>0</v>
      </c>
      <c r="T105" s="88" t="e">
        <f>+S105/C105</f>
        <v>#DIV/0!</v>
      </c>
      <c r="U105" s="87">
        <f>+C105+D105-Q105</f>
        <v>0</v>
      </c>
      <c r="V105" s="88" t="e">
        <f>+U105/C105</f>
        <v>#DIV/0!</v>
      </c>
      <c r="W105" s="1"/>
      <c r="X105" s="1"/>
      <c r="Y105" s="1"/>
      <c r="Z105" s="1"/>
      <c r="AA105" s="1"/>
      <c r="AB105" s="1"/>
    </row>
    <row r="106" spans="1:28" s="3" customFormat="1" ht="15">
      <c r="A106" s="95" t="s">
        <v>97</v>
      </c>
      <c r="B106" s="22" t="s">
        <v>56</v>
      </c>
      <c r="C106" s="39">
        <f>100000*12-500000</f>
        <v>700000</v>
      </c>
      <c r="D106" s="39"/>
      <c r="E106" s="39">
        <v>0</v>
      </c>
      <c r="F106" s="39">
        <v>159677.6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/>
      <c r="N106" s="39"/>
      <c r="O106" s="39"/>
      <c r="P106" s="39"/>
      <c r="Q106" s="87">
        <f t="shared" si="34"/>
        <v>159677.6</v>
      </c>
      <c r="R106" s="88">
        <f t="shared" si="43"/>
        <v>0.22811085714285714</v>
      </c>
      <c r="S106" s="87">
        <f t="shared" si="36"/>
        <v>540322.4</v>
      </c>
      <c r="T106" s="88">
        <f t="shared" si="37"/>
        <v>0.7718891428571429</v>
      </c>
      <c r="U106" s="87">
        <f t="shared" si="38"/>
        <v>540322.4</v>
      </c>
      <c r="V106" s="88">
        <f t="shared" si="41"/>
        <v>0.7718891428571429</v>
      </c>
      <c r="W106" s="2"/>
      <c r="X106" s="2"/>
      <c r="Y106" s="2"/>
      <c r="Z106" s="2"/>
      <c r="AA106" s="2"/>
      <c r="AB106" s="17"/>
    </row>
    <row r="107" spans="1:28" s="3" customFormat="1" ht="15">
      <c r="A107" s="95" t="s">
        <v>245</v>
      </c>
      <c r="B107" s="22" t="s">
        <v>246</v>
      </c>
      <c r="C107" s="39">
        <f>50000*12-140000</f>
        <v>460000</v>
      </c>
      <c r="D107" s="39"/>
      <c r="E107" s="39">
        <v>2800</v>
      </c>
      <c r="F107" s="39">
        <v>0</v>
      </c>
      <c r="G107" s="39">
        <v>0</v>
      </c>
      <c r="H107" s="39">
        <v>3000</v>
      </c>
      <c r="I107" s="39">
        <v>1929.01</v>
      </c>
      <c r="J107" s="39">
        <v>120.01</v>
      </c>
      <c r="K107" s="39">
        <v>0</v>
      </c>
      <c r="L107" s="39">
        <v>0</v>
      </c>
      <c r="M107" s="39"/>
      <c r="N107" s="39"/>
      <c r="O107" s="39"/>
      <c r="P107" s="39"/>
      <c r="Q107" s="87">
        <f t="shared" si="34"/>
        <v>7849.02</v>
      </c>
      <c r="R107" s="88">
        <f t="shared" si="43"/>
        <v>0.01706308695652174</v>
      </c>
      <c r="S107" s="87">
        <f t="shared" si="36"/>
        <v>452150.98</v>
      </c>
      <c r="T107" s="88">
        <f t="shared" si="37"/>
        <v>0.9829369130434782</v>
      </c>
      <c r="U107" s="87">
        <f t="shared" si="38"/>
        <v>452150.98</v>
      </c>
      <c r="V107" s="88">
        <f t="shared" si="41"/>
        <v>0.9829369130434782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98</v>
      </c>
      <c r="B108" s="22" t="s">
        <v>235</v>
      </c>
      <c r="C108" s="34">
        <f>75000*12</f>
        <v>900000</v>
      </c>
      <c r="D108" s="39"/>
      <c r="E108" s="39">
        <v>4734.97</v>
      </c>
      <c r="F108" s="38">
        <v>900</v>
      </c>
      <c r="G108" s="38">
        <v>3633.53</v>
      </c>
      <c r="H108" s="38">
        <v>1045</v>
      </c>
      <c r="I108" s="38">
        <v>127799.48</v>
      </c>
      <c r="J108" s="38">
        <v>68.5</v>
      </c>
      <c r="K108" s="38">
        <v>912.98</v>
      </c>
      <c r="L108" s="38">
        <v>0</v>
      </c>
      <c r="M108" s="38"/>
      <c r="N108" s="38"/>
      <c r="O108" s="38"/>
      <c r="P108" s="38"/>
      <c r="Q108" s="87">
        <f t="shared" si="34"/>
        <v>139094.46</v>
      </c>
      <c r="R108" s="88">
        <f t="shared" si="43"/>
        <v>0.1545494</v>
      </c>
      <c r="S108" s="87">
        <f t="shared" si="36"/>
        <v>760905.54</v>
      </c>
      <c r="T108" s="88">
        <f t="shared" si="37"/>
        <v>0.8454506</v>
      </c>
      <c r="U108" s="87">
        <f t="shared" si="38"/>
        <v>760905.54</v>
      </c>
      <c r="V108" s="88">
        <f t="shared" si="41"/>
        <v>0.8454506</v>
      </c>
      <c r="W108" s="2"/>
      <c r="X108" s="2"/>
      <c r="Y108" s="2"/>
      <c r="Z108" s="2"/>
      <c r="AA108" s="2"/>
      <c r="AB108" s="17"/>
    </row>
    <row r="109" spans="1:28" s="12" customFormat="1" ht="30">
      <c r="A109" s="86" t="s">
        <v>57</v>
      </c>
      <c r="B109" s="31" t="s">
        <v>199</v>
      </c>
      <c r="C109" s="66">
        <f aca="true" t="shared" si="45" ref="C109:P109">+C110+C111+C112+C113+C114</f>
        <v>3874956</v>
      </c>
      <c r="D109" s="66">
        <f t="shared" si="45"/>
        <v>0</v>
      </c>
      <c r="E109" s="66">
        <f t="shared" si="45"/>
        <v>5795.1</v>
      </c>
      <c r="F109" s="66">
        <f t="shared" si="45"/>
        <v>39087.12</v>
      </c>
      <c r="G109" s="66">
        <f t="shared" si="45"/>
        <v>29972.75</v>
      </c>
      <c r="H109" s="66">
        <f t="shared" si="45"/>
        <v>1142024.9</v>
      </c>
      <c r="I109" s="66">
        <f t="shared" si="45"/>
        <v>3946.18</v>
      </c>
      <c r="J109" s="66">
        <f t="shared" si="45"/>
        <v>931724.2000000001</v>
      </c>
      <c r="K109" s="66">
        <f t="shared" si="45"/>
        <v>301081.4</v>
      </c>
      <c r="L109" s="66">
        <f t="shared" si="45"/>
        <v>680.04</v>
      </c>
      <c r="M109" s="66">
        <f t="shared" si="45"/>
        <v>0</v>
      </c>
      <c r="N109" s="66">
        <f t="shared" si="45"/>
        <v>0</v>
      </c>
      <c r="O109" s="66">
        <f t="shared" si="45"/>
        <v>0</v>
      </c>
      <c r="P109" s="66">
        <f t="shared" si="45"/>
        <v>0</v>
      </c>
      <c r="Q109" s="70">
        <f>SUM(E109:P109)</f>
        <v>2454311.69</v>
      </c>
      <c r="R109" s="71">
        <f t="shared" si="43"/>
        <v>0.6333779506141489</v>
      </c>
      <c r="S109" s="70">
        <f t="shared" si="36"/>
        <v>1420644.31</v>
      </c>
      <c r="T109" s="71">
        <f t="shared" si="37"/>
        <v>0.3666220493858511</v>
      </c>
      <c r="U109" s="70">
        <f>+U110+U111+U112+U113+U114</f>
        <v>1420644.31</v>
      </c>
      <c r="V109" s="68">
        <f t="shared" si="41"/>
        <v>0.3666220493858511</v>
      </c>
      <c r="W109" s="1"/>
      <c r="X109" s="1"/>
      <c r="Y109" s="1"/>
      <c r="Z109" s="1"/>
      <c r="AA109" s="1"/>
      <c r="AB109" s="1"/>
    </row>
    <row r="110" spans="1:28" s="12" customFormat="1" ht="15">
      <c r="A110" s="120" t="s">
        <v>302</v>
      </c>
      <c r="B110" s="22" t="s">
        <v>303</v>
      </c>
      <c r="C110" s="34">
        <f>50000*12</f>
        <v>600000</v>
      </c>
      <c r="D110" s="39"/>
      <c r="E110" s="39">
        <v>0</v>
      </c>
      <c r="F110" s="38">
        <v>0</v>
      </c>
      <c r="G110" s="38">
        <v>970</v>
      </c>
      <c r="H110" s="38">
        <v>150</v>
      </c>
      <c r="I110" s="38">
        <v>0</v>
      </c>
      <c r="J110" s="38">
        <v>125</v>
      </c>
      <c r="K110" s="38">
        <v>0</v>
      </c>
      <c r="L110" s="38">
        <v>0</v>
      </c>
      <c r="M110" s="38"/>
      <c r="N110" s="38"/>
      <c r="O110" s="38"/>
      <c r="P110" s="38"/>
      <c r="Q110" s="87">
        <f t="shared" si="34"/>
        <v>1245</v>
      </c>
      <c r="R110" s="88">
        <f>+Q110/(C110+D110)</f>
        <v>0.002075</v>
      </c>
      <c r="S110" s="87">
        <f>+C110-Q110</f>
        <v>598755</v>
      </c>
      <c r="T110" s="88">
        <f>+S110/C110</f>
        <v>0.997925</v>
      </c>
      <c r="U110" s="87">
        <f t="shared" si="38"/>
        <v>598755</v>
      </c>
      <c r="V110" s="88">
        <f>+U110/C110</f>
        <v>0.997925</v>
      </c>
      <c r="W110" s="1"/>
      <c r="X110" s="1"/>
      <c r="Y110" s="1"/>
      <c r="Z110" s="1"/>
      <c r="AA110" s="1"/>
      <c r="AB110" s="1"/>
    </row>
    <row r="111" spans="1:28" s="12" customFormat="1" ht="15">
      <c r="A111" s="116" t="s">
        <v>247</v>
      </c>
      <c r="B111" s="22" t="s">
        <v>248</v>
      </c>
      <c r="C111" s="34">
        <f>40000*12</f>
        <v>480000</v>
      </c>
      <c r="D111" s="39"/>
      <c r="E111" s="39">
        <v>140</v>
      </c>
      <c r="F111" s="38">
        <v>34686.8</v>
      </c>
      <c r="G111" s="38">
        <v>0</v>
      </c>
      <c r="H111" s="38">
        <v>0</v>
      </c>
      <c r="I111" s="38">
        <v>684.4</v>
      </c>
      <c r="J111" s="38"/>
      <c r="K111" s="38">
        <v>0</v>
      </c>
      <c r="L111" s="38">
        <v>0</v>
      </c>
      <c r="M111" s="38"/>
      <c r="N111" s="38"/>
      <c r="O111" s="38"/>
      <c r="P111" s="38"/>
      <c r="Q111" s="87">
        <f t="shared" si="34"/>
        <v>35511.200000000004</v>
      </c>
      <c r="R111" s="88">
        <v>0</v>
      </c>
      <c r="S111" s="87">
        <f>+C111-Q111</f>
        <v>444488.8</v>
      </c>
      <c r="T111" s="88">
        <f>+S111/C111</f>
        <v>0.9260183333333333</v>
      </c>
      <c r="U111" s="87">
        <f t="shared" si="38"/>
        <v>444488.8</v>
      </c>
      <c r="V111" s="88">
        <f>+U111/C111</f>
        <v>0.9260183333333333</v>
      </c>
      <c r="W111" s="1"/>
      <c r="X111" s="1"/>
      <c r="Y111" s="1"/>
      <c r="Z111" s="1"/>
      <c r="AA111" s="1"/>
      <c r="AB111" s="1"/>
    </row>
    <row r="112" spans="1:28" s="12" customFormat="1" ht="15">
      <c r="A112" s="120" t="s">
        <v>304</v>
      </c>
      <c r="B112" s="22" t="s">
        <v>305</v>
      </c>
      <c r="C112" s="34">
        <v>1200000</v>
      </c>
      <c r="D112" s="39"/>
      <c r="E112" s="39">
        <v>0</v>
      </c>
      <c r="F112" s="38">
        <v>0</v>
      </c>
      <c r="G112" s="38">
        <v>0</v>
      </c>
      <c r="H112" s="38">
        <v>1141424.9</v>
      </c>
      <c r="I112" s="38">
        <v>0</v>
      </c>
      <c r="J112" s="38"/>
      <c r="K112" s="38">
        <v>0</v>
      </c>
      <c r="L112" s="38">
        <v>0</v>
      </c>
      <c r="M112" s="38"/>
      <c r="N112" s="38"/>
      <c r="O112" s="38"/>
      <c r="P112" s="38"/>
      <c r="Q112" s="87">
        <f t="shared" si="34"/>
        <v>1141424.9</v>
      </c>
      <c r="R112" s="88">
        <f>+Q112/(C112+D112)</f>
        <v>0.9511874166666666</v>
      </c>
      <c r="S112" s="87">
        <f>+C112-Q112</f>
        <v>58575.10000000009</v>
      </c>
      <c r="T112" s="88">
        <f>+S112/C112</f>
        <v>0.04881258333333341</v>
      </c>
      <c r="U112" s="87">
        <f t="shared" si="38"/>
        <v>58575.10000000009</v>
      </c>
      <c r="V112" s="88">
        <f>+U112/C112</f>
        <v>0.04881258333333341</v>
      </c>
      <c r="W112" s="1"/>
      <c r="X112" s="1"/>
      <c r="Y112" s="1"/>
      <c r="Z112" s="1"/>
      <c r="AA112" s="1"/>
      <c r="AB112" s="1"/>
    </row>
    <row r="113" spans="1:28" s="12" customFormat="1" ht="15">
      <c r="A113" s="116" t="s">
        <v>166</v>
      </c>
      <c r="B113" s="22" t="s">
        <v>173</v>
      </c>
      <c r="C113" s="34">
        <f>60000*12+300000+300000</f>
        <v>1320000</v>
      </c>
      <c r="D113" s="39"/>
      <c r="E113" s="39">
        <v>4755.1</v>
      </c>
      <c r="F113" s="38">
        <v>4400.32</v>
      </c>
      <c r="G113" s="38">
        <f>168.03+28834.72</f>
        <v>29002.75</v>
      </c>
      <c r="H113" s="38">
        <v>0</v>
      </c>
      <c r="I113" s="38">
        <v>1761.78</v>
      </c>
      <c r="J113" s="38">
        <f>480.02+930779.18</f>
        <v>931259.2000000001</v>
      </c>
      <c r="K113" s="38">
        <f>295401.2+5680.2</f>
        <v>301081.4</v>
      </c>
      <c r="L113" s="38">
        <v>680.04</v>
      </c>
      <c r="M113" s="38"/>
      <c r="N113" s="38"/>
      <c r="O113" s="38"/>
      <c r="P113" s="38"/>
      <c r="Q113" s="87">
        <f t="shared" si="34"/>
        <v>1272940.59</v>
      </c>
      <c r="R113" s="88">
        <f>+Q113/(C113+D113)</f>
        <v>0.9643489318181819</v>
      </c>
      <c r="S113" s="87">
        <f>+C113-Q113</f>
        <v>47059.409999999916</v>
      </c>
      <c r="T113" s="88">
        <f>+S113/C113</f>
        <v>0.03565106818181812</v>
      </c>
      <c r="U113" s="87">
        <f t="shared" si="38"/>
        <v>47059.409999999916</v>
      </c>
      <c r="V113" s="88">
        <f>+U113/C113</f>
        <v>0.03565106818181812</v>
      </c>
      <c r="W113" s="1"/>
      <c r="X113" s="1"/>
      <c r="Y113" s="1"/>
      <c r="Z113" s="1"/>
      <c r="AA113" s="1"/>
      <c r="AB113" s="1"/>
    </row>
    <row r="114" spans="1:28" s="3" customFormat="1" ht="15">
      <c r="A114" s="120" t="s">
        <v>307</v>
      </c>
      <c r="B114" s="22" t="s">
        <v>306</v>
      </c>
      <c r="C114" s="34">
        <f>22913*12</f>
        <v>274956</v>
      </c>
      <c r="D114" s="39"/>
      <c r="E114" s="39">
        <v>900</v>
      </c>
      <c r="F114" s="38">
        <v>0</v>
      </c>
      <c r="G114" s="38">
        <v>0</v>
      </c>
      <c r="H114" s="38">
        <v>450</v>
      </c>
      <c r="I114" s="38">
        <v>1500</v>
      </c>
      <c r="J114" s="38">
        <v>340</v>
      </c>
      <c r="K114" s="38">
        <v>0</v>
      </c>
      <c r="L114" s="38">
        <v>0</v>
      </c>
      <c r="M114" s="38"/>
      <c r="N114" s="38"/>
      <c r="O114" s="38"/>
      <c r="P114" s="38"/>
      <c r="Q114" s="87">
        <f t="shared" si="34"/>
        <v>3190</v>
      </c>
      <c r="R114" s="88">
        <f>+Q114/(C114+D114)</f>
        <v>0.011601856297007522</v>
      </c>
      <c r="S114" s="87">
        <f t="shared" si="36"/>
        <v>271766</v>
      </c>
      <c r="T114" s="88">
        <f t="shared" si="37"/>
        <v>0.9883981437029925</v>
      </c>
      <c r="U114" s="87">
        <f t="shared" si="38"/>
        <v>271766</v>
      </c>
      <c r="V114" s="88">
        <f t="shared" si="41"/>
        <v>0.9883981437029925</v>
      </c>
      <c r="W114" s="2"/>
      <c r="X114" s="2"/>
      <c r="Y114" s="2"/>
      <c r="Z114" s="2"/>
      <c r="AA114" s="2"/>
      <c r="AB114" s="17"/>
    </row>
    <row r="115" spans="1:28" s="3" customFormat="1" ht="15" hidden="1">
      <c r="A115" s="43" t="s">
        <v>58</v>
      </c>
      <c r="B115" s="6" t="s">
        <v>59</v>
      </c>
      <c r="C115" s="54">
        <v>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52"/>
      <c r="R115" s="52"/>
      <c r="S115" s="55">
        <v>0</v>
      </c>
      <c r="T115" s="55"/>
      <c r="U115" s="52"/>
      <c r="V115" s="52"/>
      <c r="AB115" s="2"/>
    </row>
    <row r="116" spans="1:22" s="13" customFormat="1" ht="30">
      <c r="A116" s="35" t="s">
        <v>60</v>
      </c>
      <c r="B116" s="100" t="s">
        <v>271</v>
      </c>
      <c r="C116" s="66">
        <f>+C117+C118+C119+C120+C122+C123+C125+C128+C129</f>
        <v>63561000</v>
      </c>
      <c r="D116" s="66">
        <f>+D117+D118+D119+D120+D122+D123+D125+D128+D129</f>
        <v>1400000</v>
      </c>
      <c r="E116" s="66">
        <f>+E117+E118+E119+E120+E122+E123+E129+E128</f>
        <v>15791593.63</v>
      </c>
      <c r="F116" s="66">
        <f>+F117+F118+F119+F120+F122+F123+F125+F128+F129</f>
        <v>5083576.33</v>
      </c>
      <c r="G116" s="66">
        <f>+G117+G118+G119+G120+G122+G123+G125+G128+G129</f>
        <v>5930319.130000001</v>
      </c>
      <c r="H116" s="66">
        <f>+H117+H118+H119+H120+H122+H123+H125+H128+H129</f>
        <v>5168632.71</v>
      </c>
      <c r="I116" s="66">
        <f>+I117+I118+I119+I120+I122+I123+I125+I127+I128+I129</f>
        <v>6740073.210000001</v>
      </c>
      <c r="J116" s="66">
        <f>+J117+J118+J119+J120+J122+J123+J129+J128</f>
        <v>6680440.96</v>
      </c>
      <c r="K116" s="66">
        <f>+K117+K118+K119+K120+K122+K123+K125+K126+K127+K128+K129</f>
        <v>6645580.97</v>
      </c>
      <c r="L116" s="66">
        <f>+L117+L118+L119+L120+L122+L123+L129+L128</f>
        <v>5912028.38</v>
      </c>
      <c r="M116" s="66">
        <f>+M117+M118+M119+M120+M122+M123+M125+M128+M129</f>
        <v>0</v>
      </c>
      <c r="N116" s="66">
        <f>+N117+N118+N119+N120+N122+N123+N129+N128</f>
        <v>0</v>
      </c>
      <c r="O116" s="66">
        <f>+O117+O118+O119+O120+O122+O123+O129+O128</f>
        <v>0</v>
      </c>
      <c r="P116" s="66">
        <f>+P117+P118+P119+P120+P122+P123+P125+P128+P129</f>
        <v>0</v>
      </c>
      <c r="Q116" s="70">
        <f>SUM(E116:P116)</f>
        <v>57952245.32000001</v>
      </c>
      <c r="R116" s="71">
        <f>+Q116/C116</f>
        <v>0.9117579226255095</v>
      </c>
      <c r="S116" s="70">
        <f aca="true" t="shared" si="46" ref="S116:S140">+C116-Q116</f>
        <v>5608754.679999992</v>
      </c>
      <c r="T116" s="71">
        <f aca="true" t="shared" si="47" ref="T116:T140">+S116/C116</f>
        <v>0.08824207737449052</v>
      </c>
      <c r="U116" s="70">
        <f>+U117+U118+U119+U120+U122+U123+U125+U127+U128+U129</f>
        <v>7010359.679999998</v>
      </c>
      <c r="V116" s="68">
        <f>+U116/C116</f>
        <v>0.11029341388587338</v>
      </c>
    </row>
    <row r="117" spans="1:28" s="3" customFormat="1" ht="15">
      <c r="A117" s="97" t="s">
        <v>99</v>
      </c>
      <c r="B117" s="23" t="s">
        <v>61</v>
      </c>
      <c r="C117" s="38">
        <f>4100000*12-5000000</f>
        <v>44200000</v>
      </c>
      <c r="D117" s="39">
        <v>1400000</v>
      </c>
      <c r="E117" s="39">
        <v>11901824.16</v>
      </c>
      <c r="F117" s="38">
        <v>3295198.81</v>
      </c>
      <c r="G117" s="38">
        <v>4181212.28</v>
      </c>
      <c r="H117" s="38">
        <v>3882698.5</v>
      </c>
      <c r="I117" s="38">
        <v>4164794.44</v>
      </c>
      <c r="J117" s="38">
        <v>4728448.39</v>
      </c>
      <c r="K117" s="38">
        <v>4728159.3</v>
      </c>
      <c r="L117" s="38">
        <v>4139455.35</v>
      </c>
      <c r="M117" s="38"/>
      <c r="N117" s="38"/>
      <c r="O117" s="38"/>
      <c r="P117" s="38"/>
      <c r="Q117" s="87">
        <f aca="true" t="shared" si="48" ref="Q117:Q140">SUM(E117:P117)</f>
        <v>41021791.230000004</v>
      </c>
      <c r="R117" s="88">
        <f>+Q117/(D117+C117)</f>
        <v>0.8996006848684212</v>
      </c>
      <c r="S117" s="87">
        <f t="shared" si="46"/>
        <v>3178208.769999996</v>
      </c>
      <c r="T117" s="88">
        <f t="shared" si="47"/>
        <v>0.07190517579185511</v>
      </c>
      <c r="U117" s="87">
        <f aca="true" t="shared" si="49" ref="U117:U140">+C117+D117-Q117</f>
        <v>4578208.769999996</v>
      </c>
      <c r="V117" s="88">
        <f>+U117/C117</f>
        <v>0.10357938393665149</v>
      </c>
      <c r="AB117" s="2"/>
    </row>
    <row r="118" spans="1:28" s="3" customFormat="1" ht="15">
      <c r="A118" s="97" t="s">
        <v>100</v>
      </c>
      <c r="B118" s="23" t="s">
        <v>62</v>
      </c>
      <c r="C118" s="38">
        <f>800000*12+5000000+1000000</f>
        <v>15600000</v>
      </c>
      <c r="D118" s="39"/>
      <c r="E118" s="39">
        <v>3800360.21</v>
      </c>
      <c r="F118" s="38">
        <v>1701392.82</v>
      </c>
      <c r="G118" s="38">
        <v>1680689.46</v>
      </c>
      <c r="H118" s="38">
        <v>1188573.12</v>
      </c>
      <c r="I118" s="38">
        <v>1838513.05</v>
      </c>
      <c r="J118" s="38">
        <v>1889560.5</v>
      </c>
      <c r="K118" s="38">
        <v>1787859.13</v>
      </c>
      <c r="L118" s="38">
        <v>1707819.19</v>
      </c>
      <c r="M118" s="38"/>
      <c r="N118" s="38"/>
      <c r="O118" s="38"/>
      <c r="P118" s="38"/>
      <c r="Q118" s="87">
        <f t="shared" si="48"/>
        <v>15594767.479999999</v>
      </c>
      <c r="R118" s="88">
        <f>+Q118/(D118+C118)</f>
        <v>0.999664582051282</v>
      </c>
      <c r="S118" s="87">
        <f t="shared" si="46"/>
        <v>5232.520000001416</v>
      </c>
      <c r="T118" s="88">
        <f t="shared" si="47"/>
        <v>0.0003354179487180395</v>
      </c>
      <c r="U118" s="87">
        <f t="shared" si="49"/>
        <v>5232.520000001416</v>
      </c>
      <c r="V118" s="88">
        <f>+U118/C118</f>
        <v>0.0003354179487180395</v>
      </c>
      <c r="AB118" s="2"/>
    </row>
    <row r="119" spans="1:28" s="3" customFormat="1" ht="15">
      <c r="A119" s="97" t="s">
        <v>101</v>
      </c>
      <c r="B119" s="23" t="s">
        <v>63</v>
      </c>
      <c r="C119" s="38">
        <f>100000*12</f>
        <v>1200000</v>
      </c>
      <c r="D119" s="39"/>
      <c r="E119" s="39">
        <v>28993</v>
      </c>
      <c r="F119" s="38">
        <v>26280</v>
      </c>
      <c r="G119" s="38">
        <v>0</v>
      </c>
      <c r="H119" s="38">
        <v>37938</v>
      </c>
      <c r="I119" s="38">
        <v>32472</v>
      </c>
      <c r="J119" s="38">
        <v>3500</v>
      </c>
      <c r="K119" s="38">
        <v>72738.69</v>
      </c>
      <c r="L119" s="38">
        <v>6000</v>
      </c>
      <c r="M119" s="38"/>
      <c r="N119" s="38"/>
      <c r="O119" s="38"/>
      <c r="P119" s="38"/>
      <c r="Q119" s="87">
        <f t="shared" si="48"/>
        <v>207921.69</v>
      </c>
      <c r="R119" s="88">
        <v>0</v>
      </c>
      <c r="S119" s="87">
        <f t="shared" si="46"/>
        <v>992078.31</v>
      </c>
      <c r="T119" s="88">
        <f t="shared" si="47"/>
        <v>0.826731925</v>
      </c>
      <c r="U119" s="87">
        <f t="shared" si="49"/>
        <v>992078.31</v>
      </c>
      <c r="V119" s="88">
        <f>+U119/C119</f>
        <v>0.826731925</v>
      </c>
      <c r="AB119" s="2"/>
    </row>
    <row r="120" spans="1:29" s="7" customFormat="1" ht="15">
      <c r="A120" s="162" t="s">
        <v>131</v>
      </c>
      <c r="B120" s="23" t="s">
        <v>65</v>
      </c>
      <c r="C120" s="38">
        <v>1000</v>
      </c>
      <c r="D120" s="39"/>
      <c r="E120" s="39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279</v>
      </c>
      <c r="L120" s="38">
        <v>0</v>
      </c>
      <c r="M120" s="38"/>
      <c r="N120" s="38"/>
      <c r="O120" s="38"/>
      <c r="P120" s="38"/>
      <c r="Q120" s="87">
        <f t="shared" si="48"/>
        <v>279</v>
      </c>
      <c r="R120" s="88">
        <f aca="true" t="shared" si="50" ref="R120:R129">+Q120/C120</f>
        <v>0.279</v>
      </c>
      <c r="S120" s="87">
        <f t="shared" si="46"/>
        <v>721</v>
      </c>
      <c r="T120" s="88">
        <f t="shared" si="47"/>
        <v>0.721</v>
      </c>
      <c r="U120" s="87">
        <f t="shared" si="49"/>
        <v>721</v>
      </c>
      <c r="V120" s="88">
        <f aca="true" t="shared" si="51" ref="V120:V129">+U120/C120</f>
        <v>0.721</v>
      </c>
      <c r="W120" s="3"/>
      <c r="X120" s="3"/>
      <c r="Y120" s="3"/>
      <c r="Z120" s="3"/>
      <c r="AA120" s="3"/>
      <c r="AB120" s="2"/>
      <c r="AC120" s="2"/>
    </row>
    <row r="121" spans="1:29" s="7" customFormat="1" ht="15" hidden="1">
      <c r="A121" s="97" t="s">
        <v>131</v>
      </c>
      <c r="B121" s="23" t="s">
        <v>65</v>
      </c>
      <c r="C121" s="38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87">
        <f t="shared" si="48"/>
        <v>0</v>
      </c>
      <c r="R121" s="88" t="e">
        <f t="shared" si="50"/>
        <v>#DIV/0!</v>
      </c>
      <c r="S121" s="87">
        <f t="shared" si="46"/>
        <v>0</v>
      </c>
      <c r="T121" s="88" t="e">
        <f t="shared" si="47"/>
        <v>#DIV/0!</v>
      </c>
      <c r="U121" s="87">
        <f t="shared" si="49"/>
        <v>0</v>
      </c>
      <c r="V121" s="88" t="e">
        <f t="shared" si="51"/>
        <v>#DIV/0!</v>
      </c>
      <c r="W121" s="3"/>
      <c r="X121" s="3"/>
      <c r="Y121" s="3"/>
      <c r="Z121" s="3"/>
      <c r="AA121" s="3"/>
      <c r="AB121" s="2"/>
      <c r="AC121" s="2"/>
    </row>
    <row r="122" spans="1:29" s="7" customFormat="1" ht="15">
      <c r="A122" s="97" t="s">
        <v>102</v>
      </c>
      <c r="B122" s="23" t="s">
        <v>66</v>
      </c>
      <c r="C122" s="38">
        <f>100000*12</f>
        <v>1200000</v>
      </c>
      <c r="D122" s="39"/>
      <c r="E122" s="39">
        <v>57806.04</v>
      </c>
      <c r="F122" s="38">
        <v>56949.7</v>
      </c>
      <c r="G122" s="38">
        <v>58253.07</v>
      </c>
      <c r="H122" s="38">
        <v>56274.63</v>
      </c>
      <c r="I122" s="38">
        <v>697515.73</v>
      </c>
      <c r="J122" s="38">
        <v>55012.1</v>
      </c>
      <c r="K122" s="38">
        <v>54439.83</v>
      </c>
      <c r="L122" s="38">
        <v>58463.84</v>
      </c>
      <c r="M122" s="38"/>
      <c r="N122" s="38"/>
      <c r="O122" s="38"/>
      <c r="P122" s="38"/>
      <c r="Q122" s="87">
        <f t="shared" si="48"/>
        <v>1094714.94</v>
      </c>
      <c r="R122" s="88">
        <f t="shared" si="50"/>
        <v>0.91226245</v>
      </c>
      <c r="S122" s="87">
        <f t="shared" si="46"/>
        <v>105285.06000000006</v>
      </c>
      <c r="T122" s="88">
        <f t="shared" si="47"/>
        <v>0.08773755000000005</v>
      </c>
      <c r="U122" s="87">
        <f t="shared" si="49"/>
        <v>105285.06000000006</v>
      </c>
      <c r="V122" s="88">
        <f t="shared" si="51"/>
        <v>0.08773755000000005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32" t="s">
        <v>132</v>
      </c>
      <c r="B123" s="23" t="s">
        <v>133</v>
      </c>
      <c r="C123" s="38">
        <v>100000</v>
      </c>
      <c r="D123" s="39"/>
      <c r="E123" s="39">
        <v>0</v>
      </c>
      <c r="F123" s="38">
        <v>1400</v>
      </c>
      <c r="G123" s="38">
        <v>5656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/>
      <c r="N123" s="38"/>
      <c r="O123" s="38"/>
      <c r="P123" s="38"/>
      <c r="Q123" s="87">
        <f t="shared" si="48"/>
        <v>7056</v>
      </c>
      <c r="R123" s="88">
        <f t="shared" si="50"/>
        <v>0.07056</v>
      </c>
      <c r="S123" s="87">
        <f t="shared" si="46"/>
        <v>92944</v>
      </c>
      <c r="T123" s="88">
        <f t="shared" si="47"/>
        <v>0.92944</v>
      </c>
      <c r="U123" s="87">
        <f t="shared" si="49"/>
        <v>92944</v>
      </c>
      <c r="V123" s="88">
        <f t="shared" si="51"/>
        <v>0.92944</v>
      </c>
      <c r="W123" s="3"/>
      <c r="X123" s="3"/>
      <c r="Y123" s="3"/>
      <c r="Z123" s="3"/>
      <c r="AA123" s="3"/>
      <c r="AB123" s="2"/>
      <c r="AC123" s="2"/>
    </row>
    <row r="124" spans="1:29" s="7" customFormat="1" ht="30" hidden="1">
      <c r="A124" s="83" t="s">
        <v>103</v>
      </c>
      <c r="B124" s="28" t="s">
        <v>174</v>
      </c>
      <c r="C124" s="38"/>
      <c r="D124" s="39"/>
      <c r="E124" s="39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87">
        <f t="shared" si="48"/>
        <v>0</v>
      </c>
      <c r="R124" s="88" t="e">
        <f t="shared" si="50"/>
        <v>#DIV/0!</v>
      </c>
      <c r="S124" s="87">
        <f t="shared" si="46"/>
        <v>0</v>
      </c>
      <c r="T124" s="88" t="e">
        <f t="shared" si="47"/>
        <v>#DIV/0!</v>
      </c>
      <c r="U124" s="87">
        <f t="shared" si="49"/>
        <v>0</v>
      </c>
      <c r="V124" s="88" t="e">
        <f t="shared" si="51"/>
        <v>#DIV/0!</v>
      </c>
      <c r="W124" s="3"/>
      <c r="X124" s="3"/>
      <c r="Y124" s="3"/>
      <c r="Z124" s="3"/>
      <c r="AA124" s="3"/>
      <c r="AB124" s="2"/>
      <c r="AC124" s="2"/>
    </row>
    <row r="125" spans="1:29" s="7" customFormat="1" ht="30">
      <c r="A125" s="83" t="s">
        <v>219</v>
      </c>
      <c r="B125" s="28" t="s">
        <v>220</v>
      </c>
      <c r="C125" s="38">
        <v>10000</v>
      </c>
      <c r="D125" s="39"/>
      <c r="E125" s="39">
        <v>0</v>
      </c>
      <c r="F125" s="38">
        <v>0</v>
      </c>
      <c r="G125" s="38">
        <v>1132.32</v>
      </c>
      <c r="H125" s="38">
        <v>368</v>
      </c>
      <c r="I125" s="38">
        <v>0</v>
      </c>
      <c r="J125" s="38">
        <v>0</v>
      </c>
      <c r="K125" s="38">
        <v>0</v>
      </c>
      <c r="L125" s="38">
        <v>0</v>
      </c>
      <c r="M125" s="38"/>
      <c r="N125" s="38"/>
      <c r="O125" s="38"/>
      <c r="P125" s="38"/>
      <c r="Q125" s="87">
        <f t="shared" si="48"/>
        <v>1500.32</v>
      </c>
      <c r="R125" s="88">
        <f t="shared" si="50"/>
        <v>0.150032</v>
      </c>
      <c r="S125" s="87">
        <f t="shared" si="46"/>
        <v>8499.68</v>
      </c>
      <c r="T125" s="88">
        <f t="shared" si="47"/>
        <v>0.8499680000000001</v>
      </c>
      <c r="U125" s="87">
        <f t="shared" si="49"/>
        <v>8499.68</v>
      </c>
      <c r="V125" s="88">
        <f t="shared" si="51"/>
        <v>0.8499680000000001</v>
      </c>
      <c r="W125" s="3"/>
      <c r="X125" s="3"/>
      <c r="Y125" s="3"/>
      <c r="Z125" s="3"/>
      <c r="AA125" s="3"/>
      <c r="AB125" s="2"/>
      <c r="AC125" s="2"/>
    </row>
    <row r="126" spans="1:29" s="7" customFormat="1" ht="15">
      <c r="A126" s="83" t="s">
        <v>356</v>
      </c>
      <c r="B126" s="30" t="s">
        <v>357</v>
      </c>
      <c r="C126" s="38">
        <v>1000</v>
      </c>
      <c r="D126" s="39"/>
      <c r="E126" s="39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605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87">
        <f>SUM(E126:P126)</f>
        <v>605</v>
      </c>
      <c r="R126" s="88">
        <f>+Q126/C126</f>
        <v>0.605</v>
      </c>
      <c r="S126" s="87">
        <f>+C126-Q126</f>
        <v>395</v>
      </c>
      <c r="T126" s="88">
        <f>+S126/C126</f>
        <v>0.395</v>
      </c>
      <c r="U126" s="87">
        <f>+C126+D126-Q126</f>
        <v>395</v>
      </c>
      <c r="V126" s="88">
        <f>+U126/C126</f>
        <v>0.395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339</v>
      </c>
      <c r="B127" s="30" t="s">
        <v>340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300</v>
      </c>
      <c r="J127" s="38">
        <v>0</v>
      </c>
      <c r="K127" s="38">
        <v>0</v>
      </c>
      <c r="L127" s="38">
        <v>0</v>
      </c>
      <c r="M127" s="38"/>
      <c r="N127" s="38"/>
      <c r="O127" s="38"/>
      <c r="P127" s="38"/>
      <c r="Q127" s="87">
        <f>SUM(E127:P127)</f>
        <v>300</v>
      </c>
      <c r="R127" s="88">
        <f>+Q127/C127</f>
        <v>0.3</v>
      </c>
      <c r="S127" s="87">
        <f>+C127-Q127</f>
        <v>700</v>
      </c>
      <c r="T127" s="88">
        <f>+S127/C127</f>
        <v>0.7</v>
      </c>
      <c r="U127" s="87">
        <f>+C127+D127-Q127</f>
        <v>700</v>
      </c>
      <c r="V127" s="88">
        <f>+U127/C127</f>
        <v>0.7</v>
      </c>
      <c r="W127" s="3"/>
      <c r="X127" s="3"/>
      <c r="Y127" s="3"/>
      <c r="Z127" s="3"/>
      <c r="AA127" s="3"/>
      <c r="AB127" s="2"/>
      <c r="AC127" s="2"/>
    </row>
    <row r="128" spans="1:29" s="7" customFormat="1" ht="30">
      <c r="A128" s="83" t="s">
        <v>103</v>
      </c>
      <c r="B128" s="30" t="s">
        <v>174</v>
      </c>
      <c r="C128" s="38">
        <f>100000*12</f>
        <v>1200000</v>
      </c>
      <c r="D128" s="39"/>
      <c r="E128" s="39">
        <v>552</v>
      </c>
      <c r="F128" s="38">
        <v>2055</v>
      </c>
      <c r="G128" s="38">
        <v>2000</v>
      </c>
      <c r="H128" s="38">
        <v>1050</v>
      </c>
      <c r="I128" s="38">
        <v>4701.99</v>
      </c>
      <c r="J128" s="38">
        <v>1219.99</v>
      </c>
      <c r="K128" s="38">
        <v>0</v>
      </c>
      <c r="L128" s="38">
        <v>290</v>
      </c>
      <c r="M128" s="38"/>
      <c r="N128" s="38"/>
      <c r="O128" s="38"/>
      <c r="P128" s="38"/>
      <c r="Q128" s="87">
        <f t="shared" si="48"/>
        <v>11868.98</v>
      </c>
      <c r="R128" s="88">
        <f t="shared" si="50"/>
        <v>0.009890816666666667</v>
      </c>
      <c r="S128" s="87">
        <f t="shared" si="46"/>
        <v>1188131.02</v>
      </c>
      <c r="T128" s="88">
        <f t="shared" si="47"/>
        <v>0.9901091833333333</v>
      </c>
      <c r="U128" s="87">
        <f t="shared" si="49"/>
        <v>1188131.02</v>
      </c>
      <c r="V128" s="88">
        <f t="shared" si="51"/>
        <v>0.9901091833333333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127</v>
      </c>
      <c r="B129" s="28" t="s">
        <v>140</v>
      </c>
      <c r="C129" s="38">
        <v>50000</v>
      </c>
      <c r="D129" s="39"/>
      <c r="E129" s="39">
        <v>2058.22</v>
      </c>
      <c r="F129" s="38">
        <v>300</v>
      </c>
      <c r="G129" s="38">
        <v>1376</v>
      </c>
      <c r="H129" s="38">
        <v>1730.46</v>
      </c>
      <c r="I129" s="38">
        <v>1776</v>
      </c>
      <c r="J129" s="38">
        <v>2699.98</v>
      </c>
      <c r="K129" s="38">
        <v>1500.02</v>
      </c>
      <c r="L129" s="38">
        <v>0</v>
      </c>
      <c r="M129" s="38"/>
      <c r="N129" s="38"/>
      <c r="O129" s="38"/>
      <c r="P129" s="38"/>
      <c r="Q129" s="87">
        <f t="shared" si="48"/>
        <v>11440.68</v>
      </c>
      <c r="R129" s="88">
        <f t="shared" si="50"/>
        <v>0.2288136</v>
      </c>
      <c r="S129" s="87">
        <f t="shared" si="46"/>
        <v>38559.32</v>
      </c>
      <c r="T129" s="88">
        <f t="shared" si="47"/>
        <v>0.7711864</v>
      </c>
      <c r="U129" s="87">
        <f t="shared" si="49"/>
        <v>38559.32</v>
      </c>
      <c r="V129" s="88">
        <f t="shared" si="51"/>
        <v>0.7711864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20" t="s">
        <v>67</v>
      </c>
      <c r="B130" s="8" t="s">
        <v>272</v>
      </c>
      <c r="C130" s="66">
        <f>+C131+C132+C133+C134+C135+C136+C137+C139+C140</f>
        <v>7800000</v>
      </c>
      <c r="D130" s="66">
        <f>+D131+D132+D133+D134+D135+D136+D137+D139+D140</f>
        <v>0</v>
      </c>
      <c r="E130" s="66">
        <f>+E131+E132+E133+E134+E135+E136+E137+E139+E140</f>
        <v>10629.99</v>
      </c>
      <c r="F130" s="66">
        <f>+F131+F132+F133+F134+F135+F136+F137+F138+F139+F140</f>
        <v>1156585.8</v>
      </c>
      <c r="G130" s="66">
        <f>+G131+G132+G133+G134+G135+G136+G137+G139+G140</f>
        <v>892848.58</v>
      </c>
      <c r="H130" s="66">
        <f>+H131+H132+H133+H134+H135+H136+H137+H139+H140</f>
        <v>837286.6599999999</v>
      </c>
      <c r="I130" s="66">
        <f aca="true" t="shared" si="52" ref="I130:P130">+I131+I132+I134+I135+I136+I137+I139+I140</f>
        <v>989512.2600000001</v>
      </c>
      <c r="J130" s="66">
        <f t="shared" si="52"/>
        <v>18534.09</v>
      </c>
      <c r="K130" s="66">
        <f t="shared" si="52"/>
        <v>111572.51</v>
      </c>
      <c r="L130" s="66">
        <f>+L131+L132+L133+L134+L135+L136+L137+L138+L139+L140</f>
        <v>1081735.6</v>
      </c>
      <c r="M130" s="66">
        <f t="shared" si="52"/>
        <v>0</v>
      </c>
      <c r="N130" s="66">
        <f t="shared" si="52"/>
        <v>0</v>
      </c>
      <c r="O130" s="66">
        <f t="shared" si="52"/>
        <v>0</v>
      </c>
      <c r="P130" s="66">
        <f t="shared" si="52"/>
        <v>0</v>
      </c>
      <c r="Q130" s="70">
        <f>SUM(E130:P130)</f>
        <v>5098705.49</v>
      </c>
      <c r="R130" s="71">
        <f>+Q130/(C130+D130)</f>
        <v>0.653680191025641</v>
      </c>
      <c r="S130" s="70">
        <f t="shared" si="46"/>
        <v>2701294.51</v>
      </c>
      <c r="T130" s="71">
        <f t="shared" si="47"/>
        <v>0.34631980897435893</v>
      </c>
      <c r="U130" s="70">
        <f>+U131+U132+U133+U134+U135+U136+U137+U138+U139+U140</f>
        <v>2731294.51</v>
      </c>
      <c r="V130" s="71">
        <f aca="true" t="shared" si="53" ref="V130:V140">+U130/C130</f>
        <v>0.35016596282051277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95" t="s">
        <v>104</v>
      </c>
      <c r="B131" s="23" t="s">
        <v>295</v>
      </c>
      <c r="C131" s="38">
        <f>300000*12-1500000</f>
        <v>2100000</v>
      </c>
      <c r="D131" s="39"/>
      <c r="E131" s="39">
        <v>0</v>
      </c>
      <c r="F131" s="38">
        <v>0</v>
      </c>
      <c r="G131" s="38">
        <v>0</v>
      </c>
      <c r="H131" s="38">
        <v>416</v>
      </c>
      <c r="I131" s="38">
        <v>625028.3</v>
      </c>
      <c r="J131" s="38">
        <v>1350</v>
      </c>
      <c r="K131" s="38">
        <v>0</v>
      </c>
      <c r="L131" s="38">
        <v>671168.92</v>
      </c>
      <c r="M131" s="38"/>
      <c r="N131" s="38"/>
      <c r="O131" s="38"/>
      <c r="P131" s="38"/>
      <c r="Q131" s="87">
        <f t="shared" si="48"/>
        <v>1297963.2200000002</v>
      </c>
      <c r="R131" s="88">
        <f aca="true" t="shared" si="54" ref="R131:R140">+Q131/C131</f>
        <v>0.6180777238095239</v>
      </c>
      <c r="S131" s="87">
        <f t="shared" si="46"/>
        <v>802036.7799999998</v>
      </c>
      <c r="T131" s="88">
        <f t="shared" si="47"/>
        <v>0.3819222761904761</v>
      </c>
      <c r="U131" s="87">
        <f t="shared" si="49"/>
        <v>802036.7799999998</v>
      </c>
      <c r="V131" s="88">
        <f t="shared" si="53"/>
        <v>0.3819222761904761</v>
      </c>
      <c r="W131" s="3"/>
      <c r="X131" s="3"/>
      <c r="Y131" s="3"/>
      <c r="Z131" s="3"/>
      <c r="AA131" s="3"/>
      <c r="AB131" s="2"/>
      <c r="AC131" s="2"/>
    </row>
    <row r="132" spans="1:29" s="7" customFormat="1" ht="33.75" customHeight="1">
      <c r="A132" s="94" t="s">
        <v>105</v>
      </c>
      <c r="B132" s="28" t="s">
        <v>175</v>
      </c>
      <c r="C132" s="38">
        <f>330000*12-1000000</f>
        <v>2960000</v>
      </c>
      <c r="D132" s="39"/>
      <c r="E132" s="39">
        <v>0</v>
      </c>
      <c r="F132" s="38">
        <v>370520</v>
      </c>
      <c r="G132" s="38">
        <v>768906.13</v>
      </c>
      <c r="H132" s="38">
        <v>827665.2</v>
      </c>
      <c r="I132" s="38">
        <v>0</v>
      </c>
      <c r="J132" s="38">
        <v>15740</v>
      </c>
      <c r="K132" s="38">
        <v>0</v>
      </c>
      <c r="L132" s="38">
        <v>1000</v>
      </c>
      <c r="M132" s="38"/>
      <c r="N132" s="38"/>
      <c r="O132" s="38"/>
      <c r="P132" s="38"/>
      <c r="Q132" s="87">
        <f t="shared" si="48"/>
        <v>1983831.3299999998</v>
      </c>
      <c r="R132" s="88">
        <f t="shared" si="54"/>
        <v>0.6702132871621621</v>
      </c>
      <c r="S132" s="87">
        <f t="shared" si="46"/>
        <v>976168.6700000002</v>
      </c>
      <c r="T132" s="88">
        <f t="shared" si="47"/>
        <v>0.3297867128378379</v>
      </c>
      <c r="U132" s="87">
        <f t="shared" si="49"/>
        <v>976168.6700000002</v>
      </c>
      <c r="V132" s="88">
        <f t="shared" si="53"/>
        <v>0.3297867128378379</v>
      </c>
      <c r="W132" s="3"/>
      <c r="X132" s="3"/>
      <c r="Y132" s="3"/>
      <c r="Z132" s="3"/>
      <c r="AA132" s="3"/>
      <c r="AB132" s="2"/>
      <c r="AC132" s="2"/>
    </row>
    <row r="133" spans="1:29" s="7" customFormat="1" ht="30">
      <c r="A133" s="94" t="s">
        <v>236</v>
      </c>
      <c r="B133" s="28" t="s">
        <v>237</v>
      </c>
      <c r="C133" s="38">
        <v>50000</v>
      </c>
      <c r="D133" s="39"/>
      <c r="E133" s="39">
        <v>2704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/>
      <c r="N133" s="38"/>
      <c r="O133" s="38"/>
      <c r="P133" s="38"/>
      <c r="Q133" s="87">
        <f t="shared" si="48"/>
        <v>2704</v>
      </c>
      <c r="R133" s="88">
        <f t="shared" si="54"/>
        <v>0.05408</v>
      </c>
      <c r="S133" s="87">
        <f t="shared" si="46"/>
        <v>47296</v>
      </c>
      <c r="T133" s="88">
        <f t="shared" si="47"/>
        <v>0.94592</v>
      </c>
      <c r="U133" s="87">
        <f t="shared" si="49"/>
        <v>47296</v>
      </c>
      <c r="V133" s="88">
        <f t="shared" si="53"/>
        <v>0.94592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128</v>
      </c>
      <c r="B134" s="28" t="s">
        <v>172</v>
      </c>
      <c r="C134" s="38">
        <f>20000+200000+90000</f>
        <v>310000</v>
      </c>
      <c r="D134" s="39"/>
      <c r="E134" s="39">
        <v>442</v>
      </c>
      <c r="F134" s="38">
        <v>0</v>
      </c>
      <c r="G134" s="38">
        <v>0</v>
      </c>
      <c r="H134" s="38">
        <v>0</v>
      </c>
      <c r="I134" s="38">
        <v>200182.55</v>
      </c>
      <c r="J134" s="38">
        <v>0</v>
      </c>
      <c r="K134" s="38">
        <v>0</v>
      </c>
      <c r="L134" s="38">
        <v>90000</v>
      </c>
      <c r="M134" s="38"/>
      <c r="N134" s="38"/>
      <c r="O134" s="38"/>
      <c r="P134" s="38"/>
      <c r="Q134" s="87">
        <f t="shared" si="48"/>
        <v>290624.55</v>
      </c>
      <c r="R134" s="88">
        <f t="shared" si="54"/>
        <v>0.9374985483870968</v>
      </c>
      <c r="S134" s="87">
        <f t="shared" si="46"/>
        <v>19375.45000000001</v>
      </c>
      <c r="T134" s="88">
        <f t="shared" si="47"/>
        <v>0.06250145161290327</v>
      </c>
      <c r="U134" s="87">
        <f t="shared" si="49"/>
        <v>19375.45000000001</v>
      </c>
      <c r="V134" s="88">
        <f t="shared" si="53"/>
        <v>0.06250145161290327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106</v>
      </c>
      <c r="B135" s="28" t="s">
        <v>185</v>
      </c>
      <c r="C135" s="38">
        <f>150000*12-700000</f>
        <v>1100000</v>
      </c>
      <c r="D135" s="39"/>
      <c r="E135" s="39">
        <v>0</v>
      </c>
      <c r="F135" s="38">
        <v>512810.08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/>
      <c r="N135" s="38"/>
      <c r="O135" s="38"/>
      <c r="P135" s="38"/>
      <c r="Q135" s="87">
        <f t="shared" si="48"/>
        <v>512810.08</v>
      </c>
      <c r="R135" s="88">
        <f t="shared" si="54"/>
        <v>0.46619098181818186</v>
      </c>
      <c r="S135" s="87">
        <f t="shared" si="46"/>
        <v>587189.9199999999</v>
      </c>
      <c r="T135" s="88">
        <f t="shared" si="47"/>
        <v>0.5338090181818181</v>
      </c>
      <c r="U135" s="87">
        <f t="shared" si="49"/>
        <v>587189.9199999999</v>
      </c>
      <c r="V135" s="88">
        <f t="shared" si="53"/>
        <v>0.5338090181818181</v>
      </c>
      <c r="W135" s="3"/>
      <c r="X135" s="3"/>
      <c r="Y135" s="3"/>
      <c r="Z135" s="3"/>
      <c r="AA135" s="3"/>
      <c r="AB135" s="2"/>
      <c r="AC135" s="2"/>
    </row>
    <row r="136" spans="1:29" s="7" customFormat="1" ht="15">
      <c r="A136" s="94" t="s">
        <v>107</v>
      </c>
      <c r="B136" s="28" t="s">
        <v>186</v>
      </c>
      <c r="C136" s="38">
        <f>40000*12</f>
        <v>480000</v>
      </c>
      <c r="D136" s="39"/>
      <c r="E136" s="39">
        <v>0</v>
      </c>
      <c r="F136" s="38">
        <v>91686</v>
      </c>
      <c r="G136" s="38">
        <v>0</v>
      </c>
      <c r="H136" s="38">
        <v>0</v>
      </c>
      <c r="I136" s="38">
        <v>163701.4</v>
      </c>
      <c r="J136" s="38">
        <v>0</v>
      </c>
      <c r="K136" s="38">
        <v>580.01</v>
      </c>
      <c r="L136" s="38">
        <v>0</v>
      </c>
      <c r="M136" s="38"/>
      <c r="N136" s="38"/>
      <c r="O136" s="38"/>
      <c r="P136" s="38"/>
      <c r="Q136" s="87">
        <f t="shared" si="48"/>
        <v>255967.41</v>
      </c>
      <c r="R136" s="88">
        <f t="shared" si="54"/>
        <v>0.5332654375</v>
      </c>
      <c r="S136" s="87">
        <f t="shared" si="46"/>
        <v>224032.59</v>
      </c>
      <c r="T136" s="88">
        <f t="shared" si="47"/>
        <v>0.4667345625</v>
      </c>
      <c r="U136" s="87">
        <f t="shared" si="49"/>
        <v>224032.59</v>
      </c>
      <c r="V136" s="88">
        <f t="shared" si="53"/>
        <v>0.4667345625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108</v>
      </c>
      <c r="B137" s="28" t="s">
        <v>68</v>
      </c>
      <c r="C137" s="38">
        <f>50000*12-150000+150000</f>
        <v>600000</v>
      </c>
      <c r="D137" s="39"/>
      <c r="E137" s="39">
        <v>3023.99</v>
      </c>
      <c r="F137" s="38">
        <v>160472.92</v>
      </c>
      <c r="G137" s="38">
        <v>114869.46</v>
      </c>
      <c r="H137" s="38">
        <v>175</v>
      </c>
      <c r="I137" s="38">
        <v>600.01</v>
      </c>
      <c r="J137" s="38">
        <v>1444.09</v>
      </c>
      <c r="K137" s="38">
        <v>4449.5</v>
      </c>
      <c r="L137" s="38">
        <v>309366.07</v>
      </c>
      <c r="M137" s="38"/>
      <c r="N137" s="38"/>
      <c r="O137" s="38"/>
      <c r="P137" s="38"/>
      <c r="Q137" s="87">
        <f t="shared" si="48"/>
        <v>594401.04</v>
      </c>
      <c r="R137" s="88">
        <f t="shared" si="54"/>
        <v>0.9906684000000001</v>
      </c>
      <c r="S137" s="87">
        <f t="shared" si="46"/>
        <v>5598.959999999963</v>
      </c>
      <c r="T137" s="88">
        <f t="shared" si="47"/>
        <v>0.009331599999999938</v>
      </c>
      <c r="U137" s="87">
        <f t="shared" si="49"/>
        <v>5598.959999999963</v>
      </c>
      <c r="V137" s="88">
        <f t="shared" si="53"/>
        <v>0.009331599999999938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133" t="s">
        <v>325</v>
      </c>
      <c r="B138" s="28" t="s">
        <v>324</v>
      </c>
      <c r="C138" s="38">
        <v>30000</v>
      </c>
      <c r="D138" s="39"/>
      <c r="E138" s="39"/>
      <c r="F138" s="38">
        <v>17100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/>
      <c r="N138" s="38"/>
      <c r="O138" s="38"/>
      <c r="P138" s="38"/>
      <c r="Q138" s="87">
        <f>SUM(E138:P138)</f>
        <v>17100</v>
      </c>
      <c r="R138" s="88">
        <f>+Q138/C138</f>
        <v>0.57</v>
      </c>
      <c r="S138" s="87">
        <f>+C138-Q138</f>
        <v>12900</v>
      </c>
      <c r="T138" s="88">
        <f>+S138/C138</f>
        <v>0.43</v>
      </c>
      <c r="U138" s="87">
        <f>+C138+D138-Q138</f>
        <v>12900</v>
      </c>
      <c r="V138" s="88">
        <f>+U138/C138</f>
        <v>0.43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129</v>
      </c>
      <c r="B139" s="28" t="s">
        <v>141</v>
      </c>
      <c r="C139" s="38">
        <v>50000</v>
      </c>
      <c r="D139" s="39"/>
      <c r="E139" s="39">
        <v>4460</v>
      </c>
      <c r="F139" s="38">
        <v>3996.8</v>
      </c>
      <c r="G139" s="38">
        <v>9072.99</v>
      </c>
      <c r="H139" s="38">
        <v>9030.46</v>
      </c>
      <c r="I139" s="38">
        <v>0</v>
      </c>
      <c r="J139" s="38">
        <v>0</v>
      </c>
      <c r="K139" s="38">
        <v>3883</v>
      </c>
      <c r="L139" s="38">
        <v>10200.61</v>
      </c>
      <c r="M139" s="38"/>
      <c r="N139" s="38"/>
      <c r="O139" s="38"/>
      <c r="P139" s="38"/>
      <c r="Q139" s="87">
        <f t="shared" si="48"/>
        <v>40643.86</v>
      </c>
      <c r="R139" s="88">
        <f t="shared" si="54"/>
        <v>0.8128772</v>
      </c>
      <c r="S139" s="87">
        <f t="shared" si="46"/>
        <v>9356.14</v>
      </c>
      <c r="T139" s="88">
        <f t="shared" si="47"/>
        <v>0.18712279999999998</v>
      </c>
      <c r="U139" s="87">
        <f t="shared" si="49"/>
        <v>9356.14</v>
      </c>
      <c r="V139" s="88">
        <f t="shared" si="53"/>
        <v>0.18712279999999998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5" t="s">
        <v>158</v>
      </c>
      <c r="B140" s="23" t="s">
        <v>159</v>
      </c>
      <c r="C140" s="38">
        <v>150000</v>
      </c>
      <c r="D140" s="39"/>
      <c r="E140" s="39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102660</v>
      </c>
      <c r="L140" s="38">
        <v>0</v>
      </c>
      <c r="M140" s="38"/>
      <c r="N140" s="38"/>
      <c r="O140" s="38"/>
      <c r="P140" s="38"/>
      <c r="Q140" s="87">
        <f t="shared" si="48"/>
        <v>102660</v>
      </c>
      <c r="R140" s="88">
        <f t="shared" si="54"/>
        <v>0.6844</v>
      </c>
      <c r="S140" s="87">
        <f t="shared" si="46"/>
        <v>47340</v>
      </c>
      <c r="T140" s="88">
        <f t="shared" si="47"/>
        <v>0.3156</v>
      </c>
      <c r="U140" s="87">
        <f t="shared" si="49"/>
        <v>47340</v>
      </c>
      <c r="V140" s="88">
        <f t="shared" si="53"/>
        <v>0.3156</v>
      </c>
      <c r="W140" s="3"/>
      <c r="X140" s="3"/>
      <c r="Y140" s="3"/>
      <c r="Z140" s="3"/>
      <c r="AA140" s="3"/>
      <c r="AB140" s="2"/>
      <c r="AC140" s="2"/>
    </row>
    <row r="141" spans="1:29" s="7" customFormat="1" ht="15" hidden="1">
      <c r="A141" s="43" t="s">
        <v>69</v>
      </c>
      <c r="B141" s="6" t="s">
        <v>70</v>
      </c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52"/>
      <c r="R141" s="52"/>
      <c r="S141" s="56"/>
      <c r="T141" s="56"/>
      <c r="U141" s="52"/>
      <c r="V141" s="52"/>
      <c r="W141" s="3"/>
      <c r="X141" s="3"/>
      <c r="Y141" s="3"/>
      <c r="Z141" s="3"/>
      <c r="AA141" s="3"/>
      <c r="AB141" s="2"/>
      <c r="AC141" s="2"/>
    </row>
    <row r="142" spans="1:28" s="3" customFormat="1" ht="15" hidden="1">
      <c r="A142" s="43" t="s">
        <v>71</v>
      </c>
      <c r="B142" s="6" t="s">
        <v>72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AB142" s="2"/>
    </row>
    <row r="143" spans="1:28" s="3" customFormat="1" ht="30">
      <c r="A143" s="86" t="s">
        <v>73</v>
      </c>
      <c r="B143" s="36" t="s">
        <v>273</v>
      </c>
      <c r="C143" s="66">
        <f>+C145+C146+C147+C148+C149+C150+C156+C157+C158</f>
        <v>7166000</v>
      </c>
      <c r="D143" s="66">
        <f>+D145+D146+D147+D148+D149+D150+D156+D157+D158</f>
        <v>0</v>
      </c>
      <c r="E143" s="66">
        <f>+E146+E147+E148+E149+E150+E156+E157+E158</f>
        <v>493409.85</v>
      </c>
      <c r="F143" s="66">
        <f>+F146+F147+F149+F150+F156+F157+F158</f>
        <v>480703.15</v>
      </c>
      <c r="G143" s="66">
        <f>+G146+G147+G148+G149+G150+G156+G157+G158</f>
        <v>289384</v>
      </c>
      <c r="H143" s="66">
        <f>+H146+H147+H148+H149+H150+H156+H157+H158</f>
        <v>481625</v>
      </c>
      <c r="I143" s="66">
        <f>+I146+I147+I149+I150+I156+I157+I158</f>
        <v>540517.45</v>
      </c>
      <c r="J143" s="66">
        <f>+J145+J146+J147+J148+J149+J150+J156+J157+J158</f>
        <v>938523.42</v>
      </c>
      <c r="K143" s="66">
        <f>+K145+K146+K147+K149+K150+K156+K158</f>
        <v>1497650.78</v>
      </c>
      <c r="L143" s="66">
        <f>+L145+L146+L147+L148+L149+L150+L156+L157+L158</f>
        <v>1021755.8</v>
      </c>
      <c r="M143" s="66">
        <f>+M146+M147+M149+M150+M156+M157+M158</f>
        <v>0</v>
      </c>
      <c r="N143" s="66">
        <f>+N145+N146+N147+N148+N149+N150+N156+N157+N158</f>
        <v>0</v>
      </c>
      <c r="O143" s="66">
        <f>+O145+O146+O147+O148+O149+O150+O156+O157+O158</f>
        <v>0</v>
      </c>
      <c r="P143" s="66">
        <f>+P145+P146+P147+P148+P149+P150+P156+P157+P158</f>
        <v>0</v>
      </c>
      <c r="Q143" s="70">
        <f>SUM(E143:P143)</f>
        <v>5743569.45</v>
      </c>
      <c r="R143" s="71">
        <f aca="true" t="shared" si="55" ref="R143:R158">+Q143/C143</f>
        <v>0.8015028537538376</v>
      </c>
      <c r="S143" s="70">
        <f aca="true" t="shared" si="56" ref="S143:S171">+C143-Q143</f>
        <v>1422430.5499999998</v>
      </c>
      <c r="T143" s="71">
        <f aca="true" t="shared" si="57" ref="T143:T171">+S143/C143</f>
        <v>0.1984971462461624</v>
      </c>
      <c r="U143" s="70">
        <f>+U145+U146+U147+U148+U149+U150+U156+U157+U158</f>
        <v>1422430.5499999998</v>
      </c>
      <c r="V143" s="71">
        <f>+U143/C143</f>
        <v>0.1984971462461624</v>
      </c>
      <c r="AB143" s="2"/>
    </row>
    <row r="144" spans="1:28" s="3" customFormat="1" ht="15" hidden="1">
      <c r="A144" s="43" t="s">
        <v>74</v>
      </c>
      <c r="B144" s="6" t="s">
        <v>75</v>
      </c>
      <c r="C144" s="39">
        <f>2140000-300000-4000-600-210000-150000-1400000-30000-45400</f>
        <v>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>
        <f>SUM(D144:E144)</f>
        <v>0</v>
      </c>
      <c r="R144" s="45" t="e">
        <f t="shared" si="55"/>
        <v>#DIV/0!</v>
      </c>
      <c r="S144" s="46">
        <f t="shared" si="56"/>
        <v>0</v>
      </c>
      <c r="T144" s="47" t="e">
        <f t="shared" si="57"/>
        <v>#DIV/0!</v>
      </c>
      <c r="U144" s="52" t="e">
        <f>SUM(D144:T144)</f>
        <v>#DIV/0!</v>
      </c>
      <c r="V144" s="45" t="e">
        <f>+U144/#REF!</f>
        <v>#DIV/0!</v>
      </c>
      <c r="AB144" s="2"/>
    </row>
    <row r="145" spans="1:28" s="3" customFormat="1" ht="15">
      <c r="A145" s="101" t="s">
        <v>283</v>
      </c>
      <c r="B145" s="29" t="s">
        <v>282</v>
      </c>
      <c r="C145" s="38">
        <v>0</v>
      </c>
      <c r="D145" s="39"/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/>
      <c r="N145" s="39"/>
      <c r="O145" s="39"/>
      <c r="P145" s="39"/>
      <c r="Q145" s="87">
        <f aca="true" t="shared" si="58" ref="Q145:Q176">SUM(E145:P145)</f>
        <v>0</v>
      </c>
      <c r="R145" s="88" t="e">
        <f t="shared" si="55"/>
        <v>#DIV/0!</v>
      </c>
      <c r="S145" s="87">
        <f t="shared" si="56"/>
        <v>0</v>
      </c>
      <c r="T145" s="88" t="e">
        <f t="shared" si="57"/>
        <v>#DIV/0!</v>
      </c>
      <c r="U145" s="87">
        <f aca="true" t="shared" si="59" ref="U145:U178">+C145+D145-Q145</f>
        <v>0</v>
      </c>
      <c r="V145" s="88" t="e">
        <f aca="true" t="shared" si="60" ref="V145:V165">+U145/C145</f>
        <v>#DIV/0!</v>
      </c>
      <c r="AB145" s="2"/>
    </row>
    <row r="146" spans="1:28" s="3" customFormat="1" ht="30">
      <c r="A146" s="94" t="s">
        <v>109</v>
      </c>
      <c r="B146" s="29" t="s">
        <v>76</v>
      </c>
      <c r="C146" s="38">
        <f>100000*12+100000+170000</f>
        <v>1470000</v>
      </c>
      <c r="D146" s="39"/>
      <c r="E146" s="39">
        <v>0</v>
      </c>
      <c r="F146" s="39">
        <v>62553.65</v>
      </c>
      <c r="G146" s="39">
        <v>0</v>
      </c>
      <c r="H146" s="39">
        <v>0</v>
      </c>
      <c r="I146" s="39">
        <v>0</v>
      </c>
      <c r="J146" s="39">
        <v>0</v>
      </c>
      <c r="K146" s="39">
        <v>1202850.78</v>
      </c>
      <c r="L146" s="39">
        <v>200000</v>
      </c>
      <c r="M146" s="39"/>
      <c r="N146" s="39"/>
      <c r="O146" s="39"/>
      <c r="P146" s="39"/>
      <c r="Q146" s="87">
        <f t="shared" si="58"/>
        <v>1465404.43</v>
      </c>
      <c r="R146" s="88">
        <f t="shared" si="55"/>
        <v>0.9968737619047618</v>
      </c>
      <c r="S146" s="87">
        <f t="shared" si="56"/>
        <v>4595.570000000065</v>
      </c>
      <c r="T146" s="88">
        <f t="shared" si="57"/>
        <v>0.00312623809523814</v>
      </c>
      <c r="U146" s="87">
        <f t="shared" si="59"/>
        <v>4595.570000000065</v>
      </c>
      <c r="V146" s="88">
        <f t="shared" si="60"/>
        <v>0.00312623809523814</v>
      </c>
      <c r="AB146" s="2"/>
    </row>
    <row r="147" spans="1:28" s="3" customFormat="1" ht="30">
      <c r="A147" s="94" t="s">
        <v>144</v>
      </c>
      <c r="B147" s="28" t="s">
        <v>145</v>
      </c>
      <c r="C147" s="38">
        <f>200000+700000</f>
        <v>900000</v>
      </c>
      <c r="D147" s="39"/>
      <c r="E147" s="39">
        <v>90000</v>
      </c>
      <c r="F147" s="39">
        <v>100000</v>
      </c>
      <c r="G147" s="39">
        <v>0</v>
      </c>
      <c r="H147" s="39">
        <v>0</v>
      </c>
      <c r="I147" s="39">
        <v>0</v>
      </c>
      <c r="J147" s="39">
        <v>650000</v>
      </c>
      <c r="K147" s="39">
        <v>0</v>
      </c>
      <c r="L147" s="39">
        <v>0</v>
      </c>
      <c r="M147" s="39"/>
      <c r="N147" s="39"/>
      <c r="O147" s="39"/>
      <c r="P147" s="39"/>
      <c r="Q147" s="87">
        <f t="shared" si="58"/>
        <v>840000</v>
      </c>
      <c r="R147" s="88">
        <f t="shared" si="55"/>
        <v>0.9333333333333333</v>
      </c>
      <c r="S147" s="87">
        <f t="shared" si="56"/>
        <v>60000</v>
      </c>
      <c r="T147" s="88">
        <f t="shared" si="57"/>
        <v>0.06666666666666667</v>
      </c>
      <c r="U147" s="87">
        <f t="shared" si="59"/>
        <v>60000</v>
      </c>
      <c r="V147" s="88">
        <f t="shared" si="60"/>
        <v>0.06666666666666667</v>
      </c>
      <c r="AB147" s="2"/>
    </row>
    <row r="148" spans="1:28" s="3" customFormat="1" ht="15">
      <c r="A148" s="94" t="s">
        <v>137</v>
      </c>
      <c r="B148" s="28" t="s">
        <v>138</v>
      </c>
      <c r="C148" s="38">
        <v>250000</v>
      </c>
      <c r="D148" s="39"/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250000</v>
      </c>
      <c r="M148" s="39"/>
      <c r="N148" s="39"/>
      <c r="O148" s="39"/>
      <c r="P148" s="39"/>
      <c r="Q148" s="87">
        <f t="shared" si="58"/>
        <v>250000</v>
      </c>
      <c r="R148" s="88">
        <f t="shared" si="55"/>
        <v>1</v>
      </c>
      <c r="S148" s="87">
        <f t="shared" si="56"/>
        <v>0</v>
      </c>
      <c r="T148" s="88">
        <f t="shared" si="57"/>
        <v>0</v>
      </c>
      <c r="U148" s="87">
        <f t="shared" si="59"/>
        <v>0</v>
      </c>
      <c r="V148" s="88">
        <f t="shared" si="60"/>
        <v>0</v>
      </c>
      <c r="AB148" s="2"/>
    </row>
    <row r="149" spans="1:28" s="3" customFormat="1" ht="15">
      <c r="A149" s="43" t="s">
        <v>110</v>
      </c>
      <c r="B149" s="6" t="s">
        <v>147</v>
      </c>
      <c r="C149" s="38">
        <f>150000*12</f>
        <v>1800000</v>
      </c>
      <c r="D149" s="39"/>
      <c r="E149" s="39">
        <v>27009.85</v>
      </c>
      <c r="F149" s="39">
        <v>121799.5</v>
      </c>
      <c r="G149" s="39">
        <v>58534</v>
      </c>
      <c r="H149" s="39">
        <v>275875</v>
      </c>
      <c r="I149" s="39">
        <v>184867.45</v>
      </c>
      <c r="J149" s="39">
        <v>42304.5</v>
      </c>
      <c r="K149" s="39">
        <v>0</v>
      </c>
      <c r="L149" s="39">
        <v>325405.8</v>
      </c>
      <c r="M149" s="39"/>
      <c r="N149" s="39"/>
      <c r="O149" s="39"/>
      <c r="P149" s="39"/>
      <c r="Q149" s="87">
        <f t="shared" si="58"/>
        <v>1035796.1000000001</v>
      </c>
      <c r="R149" s="88">
        <f t="shared" si="55"/>
        <v>0.5754422777777778</v>
      </c>
      <c r="S149" s="87">
        <f t="shared" si="56"/>
        <v>764203.8999999999</v>
      </c>
      <c r="T149" s="88">
        <f t="shared" si="57"/>
        <v>0.42455772222222216</v>
      </c>
      <c r="U149" s="87">
        <f t="shared" si="59"/>
        <v>764203.8999999999</v>
      </c>
      <c r="V149" s="88">
        <f t="shared" si="60"/>
        <v>0.42455772222222216</v>
      </c>
      <c r="AB149" s="2"/>
    </row>
    <row r="150" spans="1:28" s="3" customFormat="1" ht="30">
      <c r="A150" s="78" t="s">
        <v>176</v>
      </c>
      <c r="B150" s="14" t="s">
        <v>177</v>
      </c>
      <c r="C150" s="38">
        <v>1416000</v>
      </c>
      <c r="D150" s="39"/>
      <c r="E150" s="39">
        <v>118000</v>
      </c>
      <c r="F150" s="39">
        <v>118000</v>
      </c>
      <c r="G150" s="39">
        <v>118000</v>
      </c>
      <c r="H150" s="39">
        <v>118000</v>
      </c>
      <c r="I150" s="39">
        <v>118000</v>
      </c>
      <c r="J150" s="39">
        <v>118000</v>
      </c>
      <c r="K150" s="39">
        <v>118000</v>
      </c>
      <c r="L150" s="39">
        <v>118000</v>
      </c>
      <c r="M150" s="39"/>
      <c r="N150" s="39"/>
      <c r="O150" s="39"/>
      <c r="P150" s="39"/>
      <c r="Q150" s="87">
        <f t="shared" si="58"/>
        <v>944000</v>
      </c>
      <c r="R150" s="88">
        <f t="shared" si="55"/>
        <v>0.6666666666666666</v>
      </c>
      <c r="S150" s="87">
        <f t="shared" si="56"/>
        <v>472000</v>
      </c>
      <c r="T150" s="88">
        <f t="shared" si="57"/>
        <v>0.3333333333333333</v>
      </c>
      <c r="U150" s="87">
        <f t="shared" si="59"/>
        <v>472000</v>
      </c>
      <c r="V150" s="88">
        <f t="shared" si="60"/>
        <v>0.3333333333333333</v>
      </c>
      <c r="AB150" s="2"/>
    </row>
    <row r="151" spans="1:28" s="3" customFormat="1" ht="30" hidden="1">
      <c r="A151" s="78" t="s">
        <v>135</v>
      </c>
      <c r="B151" s="14" t="s">
        <v>134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58"/>
        <v>0</v>
      </c>
      <c r="R151" s="88" t="e">
        <f t="shared" si="55"/>
        <v>#DIV/0!</v>
      </c>
      <c r="S151" s="87">
        <f t="shared" si="56"/>
        <v>0</v>
      </c>
      <c r="T151" s="88" t="e">
        <f t="shared" si="57"/>
        <v>#DIV/0!</v>
      </c>
      <c r="U151" s="87">
        <f t="shared" si="59"/>
        <v>0</v>
      </c>
      <c r="V151" s="88" t="e">
        <f t="shared" si="60"/>
        <v>#DIV/0!</v>
      </c>
      <c r="AB151" s="2"/>
    </row>
    <row r="152" spans="1:28" s="3" customFormat="1" ht="30" hidden="1">
      <c r="A152" s="78" t="s">
        <v>167</v>
      </c>
      <c r="B152" s="58" t="s">
        <v>168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8"/>
        <v>0</v>
      </c>
      <c r="R152" s="88" t="e">
        <f t="shared" si="55"/>
        <v>#DIV/0!</v>
      </c>
      <c r="S152" s="87">
        <f t="shared" si="56"/>
        <v>0</v>
      </c>
      <c r="T152" s="88" t="e">
        <f t="shared" si="57"/>
        <v>#DIV/0!</v>
      </c>
      <c r="U152" s="87">
        <f t="shared" si="59"/>
        <v>0</v>
      </c>
      <c r="V152" s="88" t="e">
        <f t="shared" si="60"/>
        <v>#DIV/0!</v>
      </c>
      <c r="AB152" s="2"/>
    </row>
    <row r="153" spans="1:28" s="3" customFormat="1" ht="30" hidden="1">
      <c r="A153" s="78" t="s">
        <v>151</v>
      </c>
      <c r="B153" s="33" t="s">
        <v>187</v>
      </c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87">
        <f t="shared" si="58"/>
        <v>0</v>
      </c>
      <c r="R153" s="88" t="e">
        <f t="shared" si="55"/>
        <v>#DIV/0!</v>
      </c>
      <c r="S153" s="87">
        <f t="shared" si="56"/>
        <v>0</v>
      </c>
      <c r="T153" s="88" t="e">
        <f t="shared" si="57"/>
        <v>#DIV/0!</v>
      </c>
      <c r="U153" s="87">
        <f t="shared" si="59"/>
        <v>0</v>
      </c>
      <c r="V153" s="88" t="e">
        <f t="shared" si="60"/>
        <v>#DIV/0!</v>
      </c>
      <c r="W153" s="4"/>
      <c r="X153" s="4"/>
      <c r="Y153" s="4"/>
      <c r="Z153" s="4"/>
      <c r="AA153" s="4"/>
      <c r="AB153" s="17"/>
    </row>
    <row r="154" spans="1:28" s="3" customFormat="1" ht="15" hidden="1">
      <c r="A154" s="43"/>
      <c r="B154" s="6"/>
      <c r="C154" s="3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8"/>
        <v>0</v>
      </c>
      <c r="R154" s="88" t="e">
        <f t="shared" si="55"/>
        <v>#DIV/0!</v>
      </c>
      <c r="S154" s="87">
        <f t="shared" si="56"/>
        <v>0</v>
      </c>
      <c r="T154" s="88" t="e">
        <f t="shared" si="57"/>
        <v>#DIV/0!</v>
      </c>
      <c r="U154" s="87">
        <f t="shared" si="59"/>
        <v>0</v>
      </c>
      <c r="V154" s="88" t="e">
        <f t="shared" si="60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14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8"/>
        <v>0</v>
      </c>
      <c r="R155" s="88" t="e">
        <f t="shared" si="55"/>
        <v>#DIV/0!</v>
      </c>
      <c r="S155" s="87">
        <f t="shared" si="56"/>
        <v>0</v>
      </c>
      <c r="T155" s="88" t="e">
        <f t="shared" si="57"/>
        <v>#DIV/0!</v>
      </c>
      <c r="U155" s="87">
        <f t="shared" si="59"/>
        <v>0</v>
      </c>
      <c r="V155" s="88" t="e">
        <f t="shared" si="60"/>
        <v>#DIV/0!</v>
      </c>
      <c r="W155" s="4"/>
      <c r="X155" s="4"/>
      <c r="Y155" s="4"/>
      <c r="Z155" s="4"/>
      <c r="AA155" s="4"/>
      <c r="AB155" s="17"/>
    </row>
    <row r="156" spans="1:28" s="3" customFormat="1" ht="30">
      <c r="A156" s="78" t="s">
        <v>135</v>
      </c>
      <c r="B156" s="14" t="s">
        <v>134</v>
      </c>
      <c r="C156" s="38">
        <f>900000+50000</f>
        <v>950000</v>
      </c>
      <c r="D156" s="39"/>
      <c r="E156" s="39">
        <v>230000</v>
      </c>
      <c r="F156" s="39">
        <v>50000</v>
      </c>
      <c r="G156" s="39">
        <v>40000</v>
      </c>
      <c r="H156" s="39">
        <v>60000</v>
      </c>
      <c r="I156" s="39">
        <v>210000</v>
      </c>
      <c r="J156" s="39">
        <v>100368.92</v>
      </c>
      <c r="K156" s="39">
        <v>148750</v>
      </c>
      <c r="L156" s="39">
        <v>100000</v>
      </c>
      <c r="M156" s="39"/>
      <c r="N156" s="39"/>
      <c r="O156" s="39"/>
      <c r="P156" s="39"/>
      <c r="Q156" s="87">
        <f t="shared" si="58"/>
        <v>939118.92</v>
      </c>
      <c r="R156" s="88">
        <f t="shared" si="55"/>
        <v>0.9885462315789474</v>
      </c>
      <c r="S156" s="87">
        <f t="shared" si="56"/>
        <v>10881.079999999958</v>
      </c>
      <c r="T156" s="88">
        <f t="shared" si="57"/>
        <v>0.011453768421052588</v>
      </c>
      <c r="U156" s="87">
        <f t="shared" si="59"/>
        <v>10881.079999999958</v>
      </c>
      <c r="V156" s="88">
        <f t="shared" si="60"/>
        <v>0.011453768421052588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167</v>
      </c>
      <c r="B157" s="58" t="s">
        <v>168</v>
      </c>
      <c r="C157" s="38">
        <v>150000</v>
      </c>
      <c r="D157" s="39"/>
      <c r="E157" s="39">
        <v>0</v>
      </c>
      <c r="F157" s="39">
        <v>0</v>
      </c>
      <c r="G157" s="39">
        <v>45000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/>
      <c r="N157" s="39"/>
      <c r="O157" s="39"/>
      <c r="P157" s="39"/>
      <c r="Q157" s="87">
        <f t="shared" si="58"/>
        <v>45000</v>
      </c>
      <c r="R157" s="88">
        <f t="shared" si="55"/>
        <v>0.3</v>
      </c>
      <c r="S157" s="87">
        <f t="shared" si="56"/>
        <v>105000</v>
      </c>
      <c r="T157" s="88">
        <f t="shared" si="57"/>
        <v>0.7</v>
      </c>
      <c r="U157" s="87">
        <f t="shared" si="59"/>
        <v>105000</v>
      </c>
      <c r="V157" s="88">
        <f t="shared" si="60"/>
        <v>0.7</v>
      </c>
      <c r="W157" s="4"/>
      <c r="X157" s="4"/>
      <c r="Y157" s="4"/>
      <c r="Z157" s="4"/>
      <c r="AA157" s="4"/>
      <c r="AB157" s="17"/>
    </row>
    <row r="158" spans="1:28" s="3" customFormat="1" ht="46.5" customHeight="1">
      <c r="A158" s="78" t="s">
        <v>151</v>
      </c>
      <c r="B158" s="33" t="s">
        <v>187</v>
      </c>
      <c r="C158" s="38">
        <f>200000+30000</f>
        <v>230000</v>
      </c>
      <c r="D158" s="39"/>
      <c r="E158" s="39">
        <v>28400</v>
      </c>
      <c r="F158" s="39">
        <v>28350</v>
      </c>
      <c r="G158" s="39">
        <v>27850</v>
      </c>
      <c r="H158" s="39">
        <v>27750</v>
      </c>
      <c r="I158" s="39">
        <v>27650</v>
      </c>
      <c r="J158" s="39">
        <v>27850</v>
      </c>
      <c r="K158" s="39">
        <v>28050</v>
      </c>
      <c r="L158" s="39">
        <v>28350</v>
      </c>
      <c r="M158" s="39"/>
      <c r="N158" s="39"/>
      <c r="O158" s="39"/>
      <c r="P158" s="39"/>
      <c r="Q158" s="87">
        <f t="shared" si="58"/>
        <v>224250</v>
      </c>
      <c r="R158" s="88">
        <f t="shared" si="55"/>
        <v>0.975</v>
      </c>
      <c r="S158" s="87">
        <f t="shared" si="56"/>
        <v>5750</v>
      </c>
      <c r="T158" s="88">
        <f t="shared" si="57"/>
        <v>0.025</v>
      </c>
      <c r="U158" s="87">
        <f t="shared" si="59"/>
        <v>5750</v>
      </c>
      <c r="V158" s="88">
        <f t="shared" si="60"/>
        <v>0.025</v>
      </c>
      <c r="W158" s="4"/>
      <c r="X158" s="4"/>
      <c r="Y158" s="4"/>
      <c r="Z158" s="4"/>
      <c r="AA158" s="4"/>
      <c r="AB158" s="17"/>
    </row>
    <row r="159" spans="1:28" s="3" customFormat="1" ht="15">
      <c r="A159" s="20" t="s">
        <v>77</v>
      </c>
      <c r="B159" s="8" t="s">
        <v>274</v>
      </c>
      <c r="C159" s="66">
        <f>+C160+C161+C162+C163</f>
        <v>300000</v>
      </c>
      <c r="D159" s="66">
        <f>+D160+D161+D162+D163</f>
        <v>0</v>
      </c>
      <c r="E159" s="66">
        <f aca="true" t="shared" si="61" ref="E159:P159">+E160+E161+E162+E163</f>
        <v>0</v>
      </c>
      <c r="F159" s="66">
        <f t="shared" si="61"/>
        <v>127524.96</v>
      </c>
      <c r="G159" s="66">
        <f t="shared" si="61"/>
        <v>0</v>
      </c>
      <c r="H159" s="66">
        <f>+H160+H161+H162+H163</f>
        <v>0</v>
      </c>
      <c r="I159" s="66">
        <f t="shared" si="61"/>
        <v>0</v>
      </c>
      <c r="J159" s="66">
        <f t="shared" si="61"/>
        <v>0</v>
      </c>
      <c r="K159" s="66">
        <f t="shared" si="61"/>
        <v>0</v>
      </c>
      <c r="L159" s="66">
        <f t="shared" si="61"/>
        <v>0</v>
      </c>
      <c r="M159" s="66">
        <f t="shared" si="61"/>
        <v>0</v>
      </c>
      <c r="N159" s="66">
        <f t="shared" si="61"/>
        <v>0</v>
      </c>
      <c r="O159" s="66">
        <f t="shared" si="61"/>
        <v>0</v>
      </c>
      <c r="P159" s="66">
        <f t="shared" si="61"/>
        <v>0</v>
      </c>
      <c r="Q159" s="70">
        <f>SUM(E159:P159)</f>
        <v>127524.96</v>
      </c>
      <c r="R159" s="71">
        <f>+Q159/(C159+D159)</f>
        <v>0.4250832</v>
      </c>
      <c r="S159" s="70">
        <f t="shared" si="56"/>
        <v>172475.03999999998</v>
      </c>
      <c r="T159" s="71">
        <f t="shared" si="57"/>
        <v>0.5749167999999999</v>
      </c>
      <c r="U159" s="70">
        <f>+C159+D159-Q159</f>
        <v>172475.03999999998</v>
      </c>
      <c r="V159" s="71">
        <f t="shared" si="60"/>
        <v>0.5749167999999999</v>
      </c>
      <c r="W159" s="4"/>
      <c r="X159" s="4"/>
      <c r="Y159" s="4"/>
      <c r="Z159" s="4"/>
      <c r="AA159" s="4"/>
      <c r="AB159" s="17"/>
    </row>
    <row r="160" spans="1:28" s="10" customFormat="1" ht="15">
      <c r="A160" s="95" t="s">
        <v>111</v>
      </c>
      <c r="B160" s="23" t="s">
        <v>164</v>
      </c>
      <c r="C160" s="38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>
        <v>0</v>
      </c>
      <c r="L160" s="38">
        <v>0</v>
      </c>
      <c r="M160" s="38"/>
      <c r="N160" s="38"/>
      <c r="O160" s="38"/>
      <c r="P160" s="38"/>
      <c r="Q160" s="87">
        <f t="shared" si="58"/>
        <v>0</v>
      </c>
      <c r="R160" s="88" t="e">
        <f>+Q160/C160</f>
        <v>#DIV/0!</v>
      </c>
      <c r="S160" s="87">
        <f t="shared" si="56"/>
        <v>0</v>
      </c>
      <c r="T160" s="88" t="e">
        <f t="shared" si="57"/>
        <v>#DIV/0!</v>
      </c>
      <c r="U160" s="87">
        <f t="shared" si="59"/>
        <v>0</v>
      </c>
      <c r="V160" s="88" t="e">
        <f t="shared" si="60"/>
        <v>#DIV/0!</v>
      </c>
      <c r="AB160" s="1"/>
    </row>
    <row r="161" spans="1:28" s="10" customFormat="1" ht="15">
      <c r="A161" s="94" t="s">
        <v>188</v>
      </c>
      <c r="B161" s="28" t="s">
        <v>189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/>
      <c r="N161" s="38"/>
      <c r="O161" s="38"/>
      <c r="P161" s="38"/>
      <c r="Q161" s="87">
        <f t="shared" si="58"/>
        <v>0</v>
      </c>
      <c r="R161" s="88" t="e">
        <f>+Q161/C161</f>
        <v>#DIV/0!</v>
      </c>
      <c r="S161" s="87">
        <f t="shared" si="56"/>
        <v>0</v>
      </c>
      <c r="T161" s="88" t="e">
        <f t="shared" si="57"/>
        <v>#DIV/0!</v>
      </c>
      <c r="U161" s="87">
        <f t="shared" si="59"/>
        <v>0</v>
      </c>
      <c r="V161" s="88" t="e">
        <f t="shared" si="60"/>
        <v>#DIV/0!</v>
      </c>
      <c r="AB161" s="1"/>
    </row>
    <row r="162" spans="1:28" s="10" customFormat="1" ht="30">
      <c r="A162" s="94" t="s">
        <v>121</v>
      </c>
      <c r="B162" s="28" t="s">
        <v>152</v>
      </c>
      <c r="C162" s="38">
        <v>300000</v>
      </c>
      <c r="D162" s="39"/>
      <c r="E162" s="39">
        <v>0</v>
      </c>
      <c r="F162" s="38">
        <v>127524.96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/>
      <c r="N162" s="38"/>
      <c r="O162" s="38"/>
      <c r="P162" s="38"/>
      <c r="Q162" s="87">
        <f t="shared" si="58"/>
        <v>127524.96</v>
      </c>
      <c r="R162" s="88">
        <f>+Q162/C162</f>
        <v>0.4250832</v>
      </c>
      <c r="S162" s="87">
        <f t="shared" si="56"/>
        <v>172475.03999999998</v>
      </c>
      <c r="T162" s="88">
        <f t="shared" si="57"/>
        <v>0.5749167999999999</v>
      </c>
      <c r="U162" s="87">
        <f t="shared" si="59"/>
        <v>172475.03999999998</v>
      </c>
      <c r="V162" s="88">
        <f t="shared" si="60"/>
        <v>0.5749167999999999</v>
      </c>
      <c r="AB162" s="1"/>
    </row>
    <row r="163" spans="1:28" s="15" customFormat="1" ht="15">
      <c r="A163" s="78" t="s">
        <v>119</v>
      </c>
      <c r="B163" s="58" t="s">
        <v>190</v>
      </c>
      <c r="C163" s="38">
        <v>0</v>
      </c>
      <c r="D163" s="39"/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/>
      <c r="N163" s="38"/>
      <c r="O163" s="38"/>
      <c r="P163" s="38"/>
      <c r="Q163" s="87">
        <f t="shared" si="58"/>
        <v>0</v>
      </c>
      <c r="R163" s="88" t="e">
        <f>+Q163/C163</f>
        <v>#DIV/0!</v>
      </c>
      <c r="S163" s="87">
        <f t="shared" si="56"/>
        <v>0</v>
      </c>
      <c r="T163" s="88" t="e">
        <f t="shared" si="57"/>
        <v>#DIV/0!</v>
      </c>
      <c r="U163" s="87">
        <f t="shared" si="59"/>
        <v>0</v>
      </c>
      <c r="V163" s="88" t="e">
        <f t="shared" si="60"/>
        <v>#DIV/0!</v>
      </c>
      <c r="AB163" s="13"/>
    </row>
    <row r="164" spans="1:28" s="15" customFormat="1" ht="35.25" customHeight="1">
      <c r="A164" s="35" t="s">
        <v>334</v>
      </c>
      <c r="B164" s="85" t="s">
        <v>335</v>
      </c>
      <c r="C164" s="66">
        <f>+C165+C166</f>
        <v>30000</v>
      </c>
      <c r="D164" s="66">
        <f>+D165+D166</f>
        <v>0</v>
      </c>
      <c r="E164" s="66">
        <f aca="true" t="shared" si="62" ref="E164:P166">+E165</f>
        <v>0</v>
      </c>
      <c r="F164" s="66">
        <f t="shared" si="62"/>
        <v>0</v>
      </c>
      <c r="G164" s="66">
        <f t="shared" si="62"/>
        <v>0</v>
      </c>
      <c r="H164" s="66">
        <f t="shared" si="62"/>
        <v>1200</v>
      </c>
      <c r="I164" s="66">
        <f>+I165+I166</f>
        <v>0</v>
      </c>
      <c r="J164" s="66">
        <f>+J165+J166</f>
        <v>0</v>
      </c>
      <c r="K164" s="66">
        <f t="shared" si="62"/>
        <v>0</v>
      </c>
      <c r="L164" s="66">
        <f t="shared" si="62"/>
        <v>0</v>
      </c>
      <c r="M164" s="66">
        <f t="shared" si="62"/>
        <v>0</v>
      </c>
      <c r="N164" s="66">
        <f t="shared" si="62"/>
        <v>0</v>
      </c>
      <c r="O164" s="66">
        <f t="shared" si="62"/>
        <v>0</v>
      </c>
      <c r="P164" s="66">
        <f t="shared" si="62"/>
        <v>0</v>
      </c>
      <c r="Q164" s="70">
        <f>SUM(E164:P164)</f>
        <v>1200</v>
      </c>
      <c r="R164" s="71">
        <f>+Q164/(C164+D164)</f>
        <v>0.04</v>
      </c>
      <c r="S164" s="70">
        <f>+C164-Q164</f>
        <v>28800</v>
      </c>
      <c r="T164" s="71">
        <f>+S164/C164</f>
        <v>0.96</v>
      </c>
      <c r="U164" s="70">
        <f>+C164+D164-Q164</f>
        <v>28800</v>
      </c>
      <c r="V164" s="119" t="e">
        <f>+U164/D164</f>
        <v>#DIV/0!</v>
      </c>
      <c r="AB164" s="13"/>
    </row>
    <row r="165" spans="1:28" s="15" customFormat="1" ht="15">
      <c r="A165" s="134" t="s">
        <v>333</v>
      </c>
      <c r="B165" s="102" t="s">
        <v>336</v>
      </c>
      <c r="C165" s="34">
        <v>30000</v>
      </c>
      <c r="D165" s="39"/>
      <c r="E165" s="39"/>
      <c r="F165" s="38"/>
      <c r="G165" s="38"/>
      <c r="H165" s="38">
        <v>1200</v>
      </c>
      <c r="I165" s="38">
        <v>0</v>
      </c>
      <c r="J165" s="38">
        <v>0</v>
      </c>
      <c r="K165" s="38">
        <v>0</v>
      </c>
      <c r="L165" s="38">
        <v>0</v>
      </c>
      <c r="M165" s="38"/>
      <c r="N165" s="38"/>
      <c r="O165" s="38"/>
      <c r="P165" s="38"/>
      <c r="Q165" s="87">
        <f>SUM(E165:P165)</f>
        <v>1200</v>
      </c>
      <c r="R165" s="88">
        <f>+Q165/(C165+D165)</f>
        <v>0.04</v>
      </c>
      <c r="S165" s="87">
        <f>+C165-Q165</f>
        <v>28800</v>
      </c>
      <c r="T165" s="88">
        <f>+S165/C165</f>
        <v>0.96</v>
      </c>
      <c r="U165" s="87">
        <f>+C165+D165-Q165</f>
        <v>28800</v>
      </c>
      <c r="V165" s="88">
        <f t="shared" si="60"/>
        <v>0.96</v>
      </c>
      <c r="AB165" s="13"/>
    </row>
    <row r="166" spans="1:28" s="15" customFormat="1" ht="30">
      <c r="A166" s="35" t="s">
        <v>257</v>
      </c>
      <c r="B166" s="99" t="s">
        <v>259</v>
      </c>
      <c r="C166" s="66">
        <f>+C167+C168</f>
        <v>0</v>
      </c>
      <c r="D166" s="66">
        <f>+D167+D168</f>
        <v>0</v>
      </c>
      <c r="E166" s="66">
        <f t="shared" si="62"/>
        <v>0</v>
      </c>
      <c r="F166" s="66">
        <f t="shared" si="62"/>
        <v>0</v>
      </c>
      <c r="G166" s="66">
        <f t="shared" si="62"/>
        <v>0</v>
      </c>
      <c r="H166" s="66">
        <f t="shared" si="62"/>
        <v>0</v>
      </c>
      <c r="I166" s="66">
        <f>+I167+I168</f>
        <v>0</v>
      </c>
      <c r="J166" s="66">
        <f>+J167+J168</f>
        <v>0</v>
      </c>
      <c r="K166" s="66">
        <f t="shared" si="62"/>
        <v>0</v>
      </c>
      <c r="L166" s="66">
        <f t="shared" si="62"/>
        <v>0</v>
      </c>
      <c r="M166" s="66">
        <f t="shared" si="62"/>
        <v>0</v>
      </c>
      <c r="N166" s="66">
        <f t="shared" si="62"/>
        <v>0</v>
      </c>
      <c r="O166" s="66">
        <f t="shared" si="62"/>
        <v>0</v>
      </c>
      <c r="P166" s="66">
        <f t="shared" si="62"/>
        <v>0</v>
      </c>
      <c r="Q166" s="70">
        <f>SUM(E166:P166)</f>
        <v>0</v>
      </c>
      <c r="R166" s="71" t="e">
        <f>+Q166/(C166+D166)</f>
        <v>#DIV/0!</v>
      </c>
      <c r="S166" s="70">
        <f>+C166-Q166</f>
        <v>0</v>
      </c>
      <c r="T166" s="71" t="e">
        <f>+S166/C166</f>
        <v>#DIV/0!</v>
      </c>
      <c r="U166" s="70">
        <f>+C166+D166-Q166</f>
        <v>0</v>
      </c>
      <c r="V166" s="119" t="e">
        <f>+U166/D166</f>
        <v>#DIV/0!</v>
      </c>
      <c r="AB166" s="13"/>
    </row>
    <row r="167" spans="1:28" s="15" customFormat="1" ht="15">
      <c r="A167" s="92" t="s">
        <v>179</v>
      </c>
      <c r="B167" s="97" t="s">
        <v>258</v>
      </c>
      <c r="C167" s="34">
        <v>0</v>
      </c>
      <c r="D167" s="39"/>
      <c r="E167" s="39">
        <v>0</v>
      </c>
      <c r="F167" s="38">
        <v>0</v>
      </c>
      <c r="G167" s="38">
        <v>0</v>
      </c>
      <c r="H167" s="38"/>
      <c r="I167" s="38">
        <v>0</v>
      </c>
      <c r="J167" s="38">
        <v>0</v>
      </c>
      <c r="K167" s="38">
        <v>0</v>
      </c>
      <c r="L167" s="38">
        <v>0</v>
      </c>
      <c r="M167" s="38"/>
      <c r="N167" s="38"/>
      <c r="O167" s="38"/>
      <c r="P167" s="38"/>
      <c r="Q167" s="87">
        <f t="shared" si="58"/>
        <v>0</v>
      </c>
      <c r="R167" s="88" t="e">
        <f>+Q167/(C167+D167)</f>
        <v>#DIV/0!</v>
      </c>
      <c r="S167" s="87">
        <f t="shared" si="56"/>
        <v>0</v>
      </c>
      <c r="T167" s="88" t="e">
        <f t="shared" si="57"/>
        <v>#DIV/0!</v>
      </c>
      <c r="U167" s="87">
        <f t="shared" si="59"/>
        <v>0</v>
      </c>
      <c r="V167" s="88" t="e">
        <f>+U167/D167</f>
        <v>#DIV/0!</v>
      </c>
      <c r="AB167" s="13"/>
    </row>
    <row r="168" spans="1:28" s="15" customFormat="1" ht="15">
      <c r="A168" s="92" t="s">
        <v>260</v>
      </c>
      <c r="B168" s="97" t="s">
        <v>261</v>
      </c>
      <c r="C168" s="34">
        <v>0</v>
      </c>
      <c r="D168" s="39"/>
      <c r="E168" s="39">
        <v>0</v>
      </c>
      <c r="F168" s="38">
        <v>0</v>
      </c>
      <c r="G168" s="38">
        <v>0</v>
      </c>
      <c r="H168" s="38"/>
      <c r="I168" s="38">
        <v>0</v>
      </c>
      <c r="J168" s="38">
        <v>0</v>
      </c>
      <c r="K168" s="38">
        <v>0</v>
      </c>
      <c r="L168" s="38">
        <v>0</v>
      </c>
      <c r="M168" s="38"/>
      <c r="N168" s="38"/>
      <c r="O168" s="38"/>
      <c r="P168" s="38"/>
      <c r="Q168" s="87">
        <f t="shared" si="58"/>
        <v>0</v>
      </c>
      <c r="R168" s="88" t="e">
        <f>+Q168/(C168+D168)</f>
        <v>#DIV/0!</v>
      </c>
      <c r="S168" s="87">
        <f>+C168-Q168</f>
        <v>0</v>
      </c>
      <c r="T168" s="88" t="e">
        <f>+S168/C168</f>
        <v>#DIV/0!</v>
      </c>
      <c r="U168" s="87">
        <f t="shared" si="59"/>
        <v>0</v>
      </c>
      <c r="V168" s="88" t="e">
        <f>+U168/D168</f>
        <v>#DIV/0!</v>
      </c>
      <c r="AB168" s="13"/>
    </row>
    <row r="169" spans="1:28" s="15" customFormat="1" ht="15">
      <c r="A169" s="20" t="s">
        <v>249</v>
      </c>
      <c r="B169" s="20" t="s">
        <v>251</v>
      </c>
      <c r="C169" s="66">
        <f>+C170+C171</f>
        <v>560000</v>
      </c>
      <c r="D169" s="66">
        <f>+D170+D171</f>
        <v>0</v>
      </c>
      <c r="E169" s="66"/>
      <c r="F169" s="66"/>
      <c r="G169" s="66"/>
      <c r="H169" s="66">
        <f>+H170+H171</f>
        <v>0</v>
      </c>
      <c r="I169" s="66">
        <f>+I170+I171</f>
        <v>0</v>
      </c>
      <c r="J169" s="66">
        <f>+J170+J171</f>
        <v>0</v>
      </c>
      <c r="K169" s="66"/>
      <c r="L169" s="66">
        <f>+L170+L171</f>
        <v>456342.58</v>
      </c>
      <c r="M169" s="66">
        <f>+M170+M171</f>
        <v>0</v>
      </c>
      <c r="N169" s="66">
        <f>+N170+N171</f>
        <v>0</v>
      </c>
      <c r="O169" s="66">
        <f>+O170+O171</f>
        <v>0</v>
      </c>
      <c r="P169" s="66">
        <f>+P170+P171</f>
        <v>0</v>
      </c>
      <c r="Q169" s="70">
        <f>SUM(E169:P169)</f>
        <v>456342.58</v>
      </c>
      <c r="R169" s="71">
        <f>+C170/Q169</f>
        <v>1.2271482534020823</v>
      </c>
      <c r="S169" s="70">
        <f t="shared" si="56"/>
        <v>103657.41999999998</v>
      </c>
      <c r="T169" s="71">
        <f t="shared" si="57"/>
        <v>0.1851025357142857</v>
      </c>
      <c r="U169" s="70">
        <f>+U170+U171</f>
        <v>103657.41999999998</v>
      </c>
      <c r="V169" s="71">
        <f>+U169/C169</f>
        <v>0.1851025357142857</v>
      </c>
      <c r="AB169" s="13"/>
    </row>
    <row r="170" spans="1:28" s="15" customFormat="1" ht="15">
      <c r="A170" s="102" t="s">
        <v>252</v>
      </c>
      <c r="B170" s="23" t="s">
        <v>250</v>
      </c>
      <c r="C170" s="34">
        <v>560000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456342.58</v>
      </c>
      <c r="M170" s="38"/>
      <c r="N170" s="38"/>
      <c r="O170" s="38"/>
      <c r="P170" s="38"/>
      <c r="Q170" s="87">
        <f t="shared" si="58"/>
        <v>456342.58</v>
      </c>
      <c r="R170" s="88">
        <f>+Q170/C170</f>
        <v>0.8148974642857143</v>
      </c>
      <c r="S170" s="87">
        <f t="shared" si="56"/>
        <v>103657.41999999998</v>
      </c>
      <c r="T170" s="88">
        <f t="shared" si="57"/>
        <v>0.1851025357142857</v>
      </c>
      <c r="U170" s="87">
        <f t="shared" si="59"/>
        <v>103657.41999999998</v>
      </c>
      <c r="V170" s="88">
        <f>+U170/C170</f>
        <v>0.1851025357142857</v>
      </c>
      <c r="AB170" s="13"/>
    </row>
    <row r="171" spans="1:28" s="15" customFormat="1" ht="30">
      <c r="A171" s="118" t="s">
        <v>254</v>
      </c>
      <c r="B171" s="29" t="s">
        <v>253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/>
      <c r="N171" s="38"/>
      <c r="O171" s="38"/>
      <c r="P171" s="38"/>
      <c r="Q171" s="87">
        <f t="shared" si="58"/>
        <v>0</v>
      </c>
      <c r="R171" s="88" t="e">
        <f>+Q171/C171</f>
        <v>#DIV/0!</v>
      </c>
      <c r="S171" s="87">
        <f t="shared" si="56"/>
        <v>0</v>
      </c>
      <c r="T171" s="88" t="e">
        <f t="shared" si="57"/>
        <v>#DIV/0!</v>
      </c>
      <c r="U171" s="87">
        <f t="shared" si="59"/>
        <v>0</v>
      </c>
      <c r="V171" s="88" t="e">
        <f>+U171/C171</f>
        <v>#DIV/0!</v>
      </c>
      <c r="AB171" s="13"/>
    </row>
    <row r="172" spans="1:28" s="15" customFormat="1" ht="15">
      <c r="A172" s="20" t="s">
        <v>200</v>
      </c>
      <c r="B172" s="20" t="s">
        <v>201</v>
      </c>
      <c r="C172" s="66">
        <f>+C173+C174</f>
        <v>0</v>
      </c>
      <c r="D172" s="66">
        <f>+D173+D174</f>
        <v>1304986.78</v>
      </c>
      <c r="E172" s="66">
        <f aca="true" t="shared" si="63" ref="E172:P172">+E174</f>
        <v>0</v>
      </c>
      <c r="F172" s="66">
        <v>0</v>
      </c>
      <c r="G172" s="66">
        <f t="shared" si="63"/>
        <v>0</v>
      </c>
      <c r="H172" s="66">
        <f>+H174</f>
        <v>0</v>
      </c>
      <c r="I172" s="66">
        <f t="shared" si="63"/>
        <v>0</v>
      </c>
      <c r="J172" s="66">
        <f>+J173+J174</f>
        <v>0</v>
      </c>
      <c r="K172" s="66">
        <f t="shared" si="63"/>
        <v>0</v>
      </c>
      <c r="L172" s="66">
        <f>+L173</f>
        <v>1304986.78</v>
      </c>
      <c r="M172" s="66">
        <f t="shared" si="63"/>
        <v>0</v>
      </c>
      <c r="N172" s="66">
        <f t="shared" si="63"/>
        <v>0</v>
      </c>
      <c r="O172" s="66">
        <f t="shared" si="63"/>
        <v>0</v>
      </c>
      <c r="P172" s="66">
        <f t="shared" si="63"/>
        <v>0</v>
      </c>
      <c r="Q172" s="70">
        <f>SUM(E172:P172)</f>
        <v>1304986.78</v>
      </c>
      <c r="R172" s="71" t="e">
        <f>+Q172/C172</f>
        <v>#DIV/0!</v>
      </c>
      <c r="S172" s="70">
        <f aca="true" t="shared" si="64" ref="S172:S178">+C172-Q172</f>
        <v>-1304986.78</v>
      </c>
      <c r="T172" s="71" t="e">
        <f aca="true" t="shared" si="65" ref="T172:T179">+S172/C172</f>
        <v>#DIV/0!</v>
      </c>
      <c r="U172" s="70">
        <f>+U174</f>
        <v>0</v>
      </c>
      <c r="V172" s="71" t="e">
        <f>+U172/C172</f>
        <v>#DIV/0!</v>
      </c>
      <c r="AB172" s="13"/>
    </row>
    <row r="173" spans="1:28" s="15" customFormat="1" ht="15">
      <c r="A173" s="102" t="s">
        <v>284</v>
      </c>
      <c r="B173" s="23" t="s">
        <v>285</v>
      </c>
      <c r="C173" s="34">
        <v>0</v>
      </c>
      <c r="D173" s="39">
        <v>1304986.78</v>
      </c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1304986.78</v>
      </c>
      <c r="M173" s="38"/>
      <c r="N173" s="38"/>
      <c r="O173" s="38"/>
      <c r="P173" s="38"/>
      <c r="Q173" s="87">
        <f>SUM(E173:P173)</f>
        <v>1304986.78</v>
      </c>
      <c r="R173" s="88">
        <f>+Q173/(D173+C173)</f>
        <v>1</v>
      </c>
      <c r="S173" s="87">
        <f t="shared" si="64"/>
        <v>-1304986.78</v>
      </c>
      <c r="T173" s="88" t="e">
        <f t="shared" si="65"/>
        <v>#DIV/0!</v>
      </c>
      <c r="U173" s="87">
        <f>+C173+D173-Q173</f>
        <v>0</v>
      </c>
      <c r="V173" s="88" t="e">
        <f>+U173/C173</f>
        <v>#DIV/0!</v>
      </c>
      <c r="AB173" s="13"/>
    </row>
    <row r="174" spans="1:28" s="15" customFormat="1" ht="15">
      <c r="A174" s="102" t="s">
        <v>169</v>
      </c>
      <c r="B174" s="23" t="s">
        <v>170</v>
      </c>
      <c r="C174" s="34">
        <v>0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0</v>
      </c>
      <c r="M174" s="38"/>
      <c r="N174" s="38"/>
      <c r="O174" s="38"/>
      <c r="P174" s="38"/>
      <c r="Q174" s="87">
        <f t="shared" si="58"/>
        <v>0</v>
      </c>
      <c r="R174" s="88" t="e">
        <f aca="true" t="shared" si="66" ref="R174:R179">+Q174/C174</f>
        <v>#DIV/0!</v>
      </c>
      <c r="S174" s="87">
        <f t="shared" si="64"/>
        <v>0</v>
      </c>
      <c r="T174" s="88" t="e">
        <f t="shared" si="65"/>
        <v>#DIV/0!</v>
      </c>
      <c r="U174" s="87">
        <f t="shared" si="59"/>
        <v>0</v>
      </c>
      <c r="V174" s="88" t="e">
        <f aca="true" t="shared" si="67" ref="V174:V179">+U174/C174</f>
        <v>#DIV/0!</v>
      </c>
      <c r="AB174" s="13"/>
    </row>
    <row r="175" spans="1:28" s="15" customFormat="1" ht="15">
      <c r="A175" s="20" t="s">
        <v>136</v>
      </c>
      <c r="B175" s="20" t="s">
        <v>155</v>
      </c>
      <c r="C175" s="66">
        <f>+C176</f>
        <v>0</v>
      </c>
      <c r="D175" s="66">
        <f>+D176</f>
        <v>21770383.22</v>
      </c>
      <c r="E175" s="66">
        <f aca="true" t="shared" si="68" ref="E175:P175">+E176</f>
        <v>0</v>
      </c>
      <c r="F175" s="66">
        <f t="shared" si="68"/>
        <v>0</v>
      </c>
      <c r="G175" s="66">
        <f t="shared" si="68"/>
        <v>0</v>
      </c>
      <c r="H175" s="66">
        <f>+H176</f>
        <v>0</v>
      </c>
      <c r="I175" s="66">
        <f t="shared" si="68"/>
        <v>0</v>
      </c>
      <c r="J175" s="66">
        <f t="shared" si="68"/>
        <v>0</v>
      </c>
      <c r="K175" s="66">
        <f t="shared" si="68"/>
        <v>0</v>
      </c>
      <c r="L175" s="66">
        <f t="shared" si="68"/>
        <v>0</v>
      </c>
      <c r="M175" s="66">
        <f t="shared" si="68"/>
        <v>0</v>
      </c>
      <c r="N175" s="66">
        <f t="shared" si="68"/>
        <v>0</v>
      </c>
      <c r="O175" s="66">
        <f t="shared" si="68"/>
        <v>0</v>
      </c>
      <c r="P175" s="66">
        <f t="shared" si="68"/>
        <v>0</v>
      </c>
      <c r="Q175" s="70">
        <f>SUM(E175:P175)</f>
        <v>0</v>
      </c>
      <c r="R175" s="71" t="e">
        <f t="shared" si="66"/>
        <v>#DIV/0!</v>
      </c>
      <c r="S175" s="70">
        <f t="shared" si="64"/>
        <v>0</v>
      </c>
      <c r="T175" s="71" t="e">
        <f t="shared" si="65"/>
        <v>#DIV/0!</v>
      </c>
      <c r="U175" s="70">
        <f>+U176</f>
        <v>21770383.22</v>
      </c>
      <c r="V175" s="72" t="e">
        <f t="shared" si="67"/>
        <v>#DIV/0!</v>
      </c>
      <c r="AB175" s="13"/>
    </row>
    <row r="176" spans="1:28" s="15" customFormat="1" ht="15">
      <c r="A176" s="102" t="s">
        <v>122</v>
      </c>
      <c r="B176" s="23" t="s">
        <v>123</v>
      </c>
      <c r="C176" s="34">
        <v>0</v>
      </c>
      <c r="D176" s="39">
        <v>21770383.22</v>
      </c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/>
      <c r="N176" s="38"/>
      <c r="O176" s="38"/>
      <c r="P176" s="38"/>
      <c r="Q176" s="87">
        <f t="shared" si="58"/>
        <v>0</v>
      </c>
      <c r="R176" s="88" t="e">
        <f t="shared" si="66"/>
        <v>#DIV/0!</v>
      </c>
      <c r="S176" s="87">
        <f t="shared" si="64"/>
        <v>0</v>
      </c>
      <c r="T176" s="88" t="e">
        <f t="shared" si="65"/>
        <v>#DIV/0!</v>
      </c>
      <c r="U176" s="87">
        <f t="shared" si="59"/>
        <v>21770383.22</v>
      </c>
      <c r="V176" s="88" t="e">
        <f t="shared" si="67"/>
        <v>#DIV/0!</v>
      </c>
      <c r="AB176" s="13"/>
    </row>
    <row r="177" spans="1:28" s="15" customFormat="1" ht="15">
      <c r="A177" s="20" t="s">
        <v>153</v>
      </c>
      <c r="B177" s="8" t="s">
        <v>154</v>
      </c>
      <c r="C177" s="66">
        <f>+C178</f>
        <v>320000</v>
      </c>
      <c r="D177" s="66">
        <f>+D178</f>
        <v>0</v>
      </c>
      <c r="E177" s="66">
        <f aca="true" t="shared" si="69" ref="E177:N177">+E178</f>
        <v>160000</v>
      </c>
      <c r="F177" s="66">
        <f t="shared" si="69"/>
        <v>0</v>
      </c>
      <c r="G177" s="66">
        <f t="shared" si="69"/>
        <v>0</v>
      </c>
      <c r="H177" s="66">
        <f t="shared" si="69"/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0</v>
      </c>
      <c r="N177" s="66">
        <f t="shared" si="69"/>
        <v>0</v>
      </c>
      <c r="O177" s="66">
        <f>+O178</f>
        <v>0</v>
      </c>
      <c r="P177" s="66">
        <f>+P178</f>
        <v>0</v>
      </c>
      <c r="Q177" s="70">
        <f>SUM(E177:P177)</f>
        <v>160000</v>
      </c>
      <c r="R177" s="71">
        <f t="shared" si="66"/>
        <v>0.5</v>
      </c>
      <c r="S177" s="70">
        <f t="shared" si="64"/>
        <v>160000</v>
      </c>
      <c r="T177" s="71">
        <f t="shared" si="65"/>
        <v>0.5</v>
      </c>
      <c r="U177" s="70">
        <f>+U178</f>
        <v>160000</v>
      </c>
      <c r="V177" s="72">
        <f t="shared" si="67"/>
        <v>0.5</v>
      </c>
      <c r="AB177" s="13"/>
    </row>
    <row r="178" spans="1:28" s="15" customFormat="1" ht="15">
      <c r="A178" s="102" t="s">
        <v>157</v>
      </c>
      <c r="B178" s="23" t="s">
        <v>156</v>
      </c>
      <c r="C178" s="34">
        <v>320000</v>
      </c>
      <c r="D178" s="39"/>
      <c r="E178" s="39">
        <v>160000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/>
      <c r="N178" s="38"/>
      <c r="O178" s="38"/>
      <c r="P178" s="38"/>
      <c r="Q178" s="87">
        <f>SUM(E178:P178)</f>
        <v>160000</v>
      </c>
      <c r="R178" s="88">
        <f t="shared" si="66"/>
        <v>0.5</v>
      </c>
      <c r="S178" s="87">
        <f t="shared" si="64"/>
        <v>160000</v>
      </c>
      <c r="T178" s="88">
        <f t="shared" si="65"/>
        <v>0.5</v>
      </c>
      <c r="U178" s="87">
        <f t="shared" si="59"/>
        <v>160000</v>
      </c>
      <c r="V178" s="88">
        <f t="shared" si="67"/>
        <v>0.5</v>
      </c>
      <c r="AB178" s="13"/>
    </row>
    <row r="179" spans="1:28" s="16" customFormat="1" ht="15.75">
      <c r="A179" s="168" t="s">
        <v>275</v>
      </c>
      <c r="B179" s="168"/>
      <c r="C179" s="73">
        <f>+C15+C20+C26+C30+C33+C41+C44+C46+C49+C53+C55+C65+C75+C80+C91+C96+C101+C104+C109+C116+C130+C143+C159+C166+C169+C172+C175+C177+C164</f>
        <v>1773049739.9999998</v>
      </c>
      <c r="D179" s="73">
        <f>+D15+D20+D26+D30+D33+D41+D44+D46+D49+D53+D55+D65+D75+D80+D91+D96+D101+D104+D109+D116+D130+D143+D159+D166+D169+D172+D175+D177</f>
        <v>89359367.14</v>
      </c>
      <c r="E179" s="73">
        <f>+E15+E20+E26+E30+E33+E41+E44+E46+E49+E53+E55+E65+E75+E80+E91+E96+E101+E104+E109+E116+E130+E143+E159+E166+E169+E172+E175+E177</f>
        <v>138636322.07000002</v>
      </c>
      <c r="F179" s="73">
        <f>+F15+F20+F26+F30+F33+F41+F44+F46+F49+F53+F55+F65+F75+F80+F91+F96+F101+F104+F109+F116+F130+F143+F159+F166+F169+F172+F175+F177</f>
        <v>134809057.16</v>
      </c>
      <c r="G179" s="73">
        <f>+G15+G20+G26+G30+G33+G41+G44+G46+G49+G53+G55+G65+G75+G80+G91+G96+G101+G104+G109+G116+G130+G143+G159+G166+G169+G172+G175+G177</f>
        <v>243238847.34</v>
      </c>
      <c r="H179" s="73">
        <f>+H164+H159+H143+H130+H116+H109+H104+H101+H91+H80+H75+H65+H55+H53+H49+H46+H44+H41+H33+H30+H26+H20+H15</f>
        <v>129944630.64</v>
      </c>
      <c r="I179" s="73">
        <f aca="true" t="shared" si="70" ref="I179:P179">+I15+I20+I26+I30+I33+I41+I44+I46+I49+I53+I55+I65+I75+I80+I91+I96+I101+I104+I109+I116+I130+I143+I159+I166+I169+I172+I175+I177</f>
        <v>131666036.92000002</v>
      </c>
      <c r="J179" s="73">
        <f t="shared" si="70"/>
        <v>134749988.38</v>
      </c>
      <c r="K179" s="73">
        <f t="shared" si="70"/>
        <v>146805094.66</v>
      </c>
      <c r="L179" s="73">
        <f>+L15+L20+L26+L30+L33+L41+L44+L46+L49+L53+L55+L65+L75+L80+L91+L96+L101+L104+L109+L116+L130+L143+L159+L166+L169+L172+L175+L177</f>
        <v>140909305.60000005</v>
      </c>
      <c r="M179" s="73">
        <f t="shared" si="70"/>
        <v>0</v>
      </c>
      <c r="N179" s="73">
        <f t="shared" si="70"/>
        <v>0</v>
      </c>
      <c r="O179" s="73">
        <f t="shared" si="70"/>
        <v>0</v>
      </c>
      <c r="P179" s="73">
        <f t="shared" si="70"/>
        <v>0</v>
      </c>
      <c r="Q179" s="74">
        <f>SUM(E179:P179)</f>
        <v>1200759282.7700002</v>
      </c>
      <c r="R179" s="75">
        <f t="shared" si="66"/>
        <v>0.6772281993453835</v>
      </c>
      <c r="S179" s="76" t="e">
        <f>+S159+#REF!+S143+S130+S116+#REF!+#REF!+#REF!+S104+S80+S75+S55+S53+S49+S46+S44+S41+S33+S15+S91</f>
        <v>#REF!</v>
      </c>
      <c r="T179" s="75" t="e">
        <f t="shared" si="65"/>
        <v>#REF!</v>
      </c>
      <c r="U179" s="80">
        <f>+C179-Q179</f>
        <v>572290457.2299995</v>
      </c>
      <c r="V179" s="77">
        <f t="shared" si="67"/>
        <v>0.3227718006546165</v>
      </c>
      <c r="W179" s="91"/>
      <c r="AB179" s="98"/>
    </row>
    <row r="180" spans="3:22" s="17" customFormat="1" ht="15">
      <c r="C180" s="60">
        <v>1773049740</v>
      </c>
      <c r="D180" s="60"/>
      <c r="E180" s="18">
        <f>+(E179/(C179+D179))*100%</f>
        <v>0.07443924191441281</v>
      </c>
      <c r="F180" s="18">
        <f>+(F179/(D179+C179))*100%</f>
        <v>0.07238423429265706</v>
      </c>
      <c r="G180" s="18">
        <f>+(G179/(C179+D179))*100%</f>
        <v>0.13060441253615251</v>
      </c>
      <c r="H180" s="18">
        <f>+(H179/(C179+D179))*100%</f>
        <v>0.06977233419973385</v>
      </c>
      <c r="I180" s="18">
        <f>+(I179/(C179+D179))*100%</f>
        <v>0.07069662428905987</v>
      </c>
      <c r="J180" s="18">
        <f>+(J179/(C179+D179))*100%</f>
        <v>0.07235251796364345</v>
      </c>
      <c r="K180" s="18">
        <f>+(K179/(C179+D179))*100%</f>
        <v>0.07882537413352783</v>
      </c>
      <c r="L180" s="18">
        <f>+(L179/(C179+D179))*100%</f>
        <v>0.07565969531602366</v>
      </c>
      <c r="M180" s="18">
        <f>+(M179/(C179+D179))*100%</f>
        <v>0</v>
      </c>
      <c r="N180" s="18">
        <f>+(N179/(C179+D179))*100%</f>
        <v>0</v>
      </c>
      <c r="O180" s="18">
        <f>+(O179/(C179+D179))*100%</f>
        <v>0</v>
      </c>
      <c r="P180" s="18">
        <f>+(P179/(C179+D179))*100%</f>
        <v>0</v>
      </c>
      <c r="Q180" s="18"/>
      <c r="R180" s="18"/>
      <c r="S180" s="18"/>
      <c r="T180" s="18"/>
      <c r="U180" s="18"/>
      <c r="V180" s="19"/>
    </row>
    <row r="181" spans="2:22" s="17" customFormat="1" ht="15">
      <c r="B181" s="117"/>
      <c r="C181" s="60">
        <f>+C179-C180</f>
        <v>0</v>
      </c>
      <c r="D181" s="60"/>
      <c r="E181" s="19"/>
      <c r="F181" s="19"/>
      <c r="G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81"/>
      <c r="U181" s="19"/>
      <c r="V181" s="19"/>
    </row>
    <row r="182" spans="3:22" s="17" customFormat="1" ht="15"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81"/>
      <c r="U182" s="19"/>
      <c r="V182" s="19"/>
    </row>
    <row r="183" spans="3:22" s="17" customFormat="1" ht="15"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1:28" ht="15">
      <c r="A186" s="17"/>
      <c r="B186" s="17"/>
      <c r="D186" s="7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8"/>
      <c r="U186" s="21"/>
      <c r="V186" s="21"/>
      <c r="AB186" s="4"/>
    </row>
    <row r="187" spans="1:28" ht="15">
      <c r="A187" s="17"/>
      <c r="B187" s="17"/>
      <c r="D187" s="7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8"/>
      <c r="U187" s="21"/>
      <c r="V187" s="21"/>
      <c r="AB187" s="4"/>
    </row>
    <row r="188" spans="1:28" ht="15.75">
      <c r="A188" s="169" t="s">
        <v>332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AB188" s="4"/>
    </row>
    <row r="189" spans="3:5" s="17" customFormat="1" ht="15">
      <c r="C189" s="60"/>
      <c r="D189" s="60"/>
      <c r="E189" s="19"/>
    </row>
    <row r="190" spans="3:8" s="17" customFormat="1" ht="15">
      <c r="C190" s="60"/>
      <c r="D190" s="60"/>
      <c r="E190" s="19"/>
      <c r="H190" s="19"/>
    </row>
    <row r="191" spans="3:8" s="17" customFormat="1" ht="15">
      <c r="C191" s="60"/>
      <c r="D191" s="60"/>
      <c r="H191" s="19"/>
    </row>
    <row r="192" spans="3:8" s="17" customFormat="1" ht="15">
      <c r="C192" s="60"/>
      <c r="D192" s="60"/>
      <c r="H192" s="60"/>
    </row>
    <row r="193" spans="3:8" s="17" customFormat="1" ht="15">
      <c r="C193" s="60"/>
      <c r="D193" s="60"/>
      <c r="H193" s="60"/>
    </row>
    <row r="194" spans="3:28" ht="15">
      <c r="C194" s="60"/>
      <c r="D194" s="7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U194" s="4"/>
      <c r="V194" s="4"/>
      <c r="AB194" s="4"/>
    </row>
    <row r="195" spans="3:28" ht="15">
      <c r="C195" s="60"/>
      <c r="D195" s="7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U195" s="4"/>
      <c r="V195" s="4"/>
      <c r="AB195" s="4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</sheetData>
  <sheetProtection/>
  <mergeCells count="11">
    <mergeCell ref="A13:A14"/>
    <mergeCell ref="A9:V9"/>
    <mergeCell ref="E13:P13"/>
    <mergeCell ref="A179:B179"/>
    <mergeCell ref="A188:V188"/>
    <mergeCell ref="B13:B14"/>
    <mergeCell ref="B3:B4"/>
    <mergeCell ref="A5:V5"/>
    <mergeCell ref="A6:V6"/>
    <mergeCell ref="A7:V7"/>
    <mergeCell ref="A8:V8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2023'!E179</f>
        <v>138636322.07000002</v>
      </c>
      <c r="C2" s="144">
        <f>+'EJECUCIÓN 2023'!E180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2023'!F179</f>
        <v>134809057.16</v>
      </c>
      <c r="C3" s="108">
        <f>+'EJECUCIÓN 2023'!F180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2023'!G179</f>
        <v>243238847.34</v>
      </c>
      <c r="C4" s="108">
        <f>+'EJECUCIÓN 2023'!G180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2023'!H179</f>
        <v>129944630.64</v>
      </c>
      <c r="C5" s="108">
        <f>+'EJECUCIÓN 2023'!H180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2023'!I179</f>
        <v>131666036.92000002</v>
      </c>
      <c r="C6" s="108">
        <f>+'EJECUCIÓN 2023'!I180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2023'!J179</f>
        <v>134749988.38</v>
      </c>
      <c r="C7" s="108">
        <f>'EJECUCIÓN 2023'!J180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2023'!K179</f>
        <v>146805094.66</v>
      </c>
      <c r="C8" s="108">
        <f>+'EJECUCIÓN 2023'!K180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341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342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343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344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349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2023'!R179</f>
        <v>0.6772281993453835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2023'!U179</f>
        <v>572290457.2299995</v>
      </c>
      <c r="C15" s="108">
        <f>+'EJECUCIÓN 2023'!V179</f>
        <v>0.3227718006546165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345</v>
      </c>
      <c r="B16" s="114">
        <f>+'EJECUCIÓN 2023'!D179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7" t="s">
        <v>350</v>
      </c>
      <c r="B19" s="177"/>
      <c r="C19" s="177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7" t="s">
        <v>346</v>
      </c>
      <c r="B20" s="177"/>
      <c r="C20" s="177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78" t="s">
        <v>347</v>
      </c>
      <c r="B21" s="178"/>
      <c r="C21" s="178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7" t="s">
        <v>351</v>
      </c>
      <c r="B22" s="177"/>
      <c r="C22" s="177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79" t="s">
        <v>348</v>
      </c>
      <c r="B23" s="179"/>
      <c r="C23" s="179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6" t="s">
        <v>353</v>
      </c>
      <c r="B24" s="176"/>
      <c r="C24" s="1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4" t="s">
        <v>4</v>
      </c>
      <c r="B1" s="170" t="s">
        <v>5</v>
      </c>
    </row>
    <row r="2" spans="1:2" ht="15">
      <c r="A2" s="180"/>
      <c r="B2" s="181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2" t="s">
        <v>275</v>
      </c>
      <c r="B29" s="182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4" t="s">
        <v>4</v>
      </c>
      <c r="B3" s="170" t="s">
        <v>5</v>
      </c>
      <c r="C3" s="61" t="s">
        <v>221</v>
      </c>
      <c r="D3" s="126" t="s">
        <v>142</v>
      </c>
      <c r="E3" s="165" t="s">
        <v>286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5"/>
      <c r="B4" s="171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337</v>
      </c>
      <c r="B17" s="58" t="s">
        <v>338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80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20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105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339</v>
      </c>
      <c r="B114" s="30" t="s">
        <v>340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20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105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90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105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105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60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50">
      <c r="A151" s="35" t="s">
        <v>334</v>
      </c>
      <c r="B151" s="85" t="s">
        <v>335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333</v>
      </c>
      <c r="B152" s="102" t="s">
        <v>336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8" t="s">
        <v>275</v>
      </c>
      <c r="B166" s="168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2023-09-06T19:21:17Z</cp:lastPrinted>
  <dcterms:created xsi:type="dcterms:W3CDTF">2019-01-09T20:58:22Z</dcterms:created>
  <dcterms:modified xsi:type="dcterms:W3CDTF">2023-09-20T15:12:39Z</dcterms:modified>
  <cp:category/>
  <cp:version/>
  <cp:contentType/>
  <cp:contentStatus/>
</cp:coreProperties>
</file>