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EJECUCIÓN 2023" sheetId="1" r:id="rId1"/>
  </sheets>
  <definedNames/>
  <calcPr fullCalcOnLoad="1"/>
</workbook>
</file>

<file path=xl/sharedStrings.xml><?xml version="1.0" encoding="utf-8"?>
<sst xmlns="http://schemas.openxmlformats.org/spreadsheetml/2006/main" count="367" uniqueCount="349">
  <si>
    <t>REPÚBLICA DOMINICANA</t>
  </si>
  <si>
    <t>DIRECCIÓN NACIONAL DE CONTROL DE DROGAS</t>
  </si>
  <si>
    <t>-D.N.C.D.-</t>
  </si>
  <si>
    <t>Dirección Financiera</t>
  </si>
  <si>
    <t>Cuenta No.</t>
  </si>
  <si>
    <t>Descripción de Cuenta</t>
  </si>
  <si>
    <t>TOTAL</t>
  </si>
  <si>
    <t xml:space="preserve">% </t>
  </si>
  <si>
    <t>%</t>
  </si>
  <si>
    <t>ENERO</t>
  </si>
  <si>
    <t>FEBRERO</t>
  </si>
  <si>
    <t>MARZO</t>
  </si>
  <si>
    <t>MAYO</t>
  </si>
  <si>
    <t>JUNIO</t>
  </si>
  <si>
    <t>JULIO</t>
  </si>
  <si>
    <t>EJECUTADO</t>
  </si>
  <si>
    <t>POR EJECUTAR</t>
  </si>
  <si>
    <t>2.1.1</t>
  </si>
  <si>
    <t>Compensación por gastos de alimentación</t>
  </si>
  <si>
    <t>Contribuciones al seguro de salud</t>
  </si>
  <si>
    <t>2.2.1</t>
  </si>
  <si>
    <t>.22.1.1.01</t>
  </si>
  <si>
    <t>Radiocomunicacion</t>
  </si>
  <si>
    <t>Teléfono local</t>
  </si>
  <si>
    <t>Servicio de internet y televisión por cable</t>
  </si>
  <si>
    <t>Agua</t>
  </si>
  <si>
    <t>Recolección de residuos sólidos</t>
  </si>
  <si>
    <t>2.2.2</t>
  </si>
  <si>
    <t>Publicidad y propaganda</t>
  </si>
  <si>
    <t>2.2.3</t>
  </si>
  <si>
    <t>Viáticos dentro del país</t>
  </si>
  <si>
    <t>2.2.4</t>
  </si>
  <si>
    <t>2.2.5</t>
  </si>
  <si>
    <t>Alquileres y rentas de edificios y locales</t>
  </si>
  <si>
    <t>2.2.6</t>
  </si>
  <si>
    <t>Seguro de bienes muebles</t>
  </si>
  <si>
    <t>2.2.7</t>
  </si>
  <si>
    <t>2.2.8</t>
  </si>
  <si>
    <t>.22.8.1.01</t>
  </si>
  <si>
    <t>Gastos Judiciales</t>
  </si>
  <si>
    <t xml:space="preserve">.22.8.9.03 </t>
  </si>
  <si>
    <t>Otros gastos operativos de instituciones empresariales</t>
  </si>
  <si>
    <t>2.3.1</t>
  </si>
  <si>
    <t>Alimentos para animales</t>
  </si>
  <si>
    <t>Medera, Corcho y su manufactura</t>
  </si>
  <si>
    <t>2.3.2</t>
  </si>
  <si>
    <t>Textiles y Vesturios</t>
  </si>
  <si>
    <t>.23.2.1.01</t>
  </si>
  <si>
    <t>Hilados y Telas</t>
  </si>
  <si>
    <t>.23.2.2.01</t>
  </si>
  <si>
    <t>Acabados textiles</t>
  </si>
  <si>
    <t>.23.2.3.01</t>
  </si>
  <si>
    <t>Prendas de Vestir</t>
  </si>
  <si>
    <t>.23.2.4.01</t>
  </si>
  <si>
    <t>Calzados</t>
  </si>
  <si>
    <t>2.3.5</t>
  </si>
  <si>
    <t>Llantas y neumáticos</t>
  </si>
  <si>
    <t>2.3.6</t>
  </si>
  <si>
    <t>.23.6.4.07</t>
  </si>
  <si>
    <t>Otros Minerales</t>
  </si>
  <si>
    <t>2.3.7</t>
  </si>
  <si>
    <t>Gasolina</t>
  </si>
  <si>
    <t>Gasoil</t>
  </si>
  <si>
    <t>Gas GLP</t>
  </si>
  <si>
    <t>Aceites y grasas</t>
  </si>
  <si>
    <t>Lubricantes</t>
  </si>
  <si>
    <t>2.3.9</t>
  </si>
  <si>
    <t>Productos eléctricos y afines</t>
  </si>
  <si>
    <t>.23.9.7.01</t>
  </si>
  <si>
    <t>.23.9.9.01</t>
  </si>
  <si>
    <t>Productos y Utiles Varios N.I.P</t>
  </si>
  <si>
    <t>2.4.1</t>
  </si>
  <si>
    <t>.24.1.1.01</t>
  </si>
  <si>
    <t>Pensiones</t>
  </si>
  <si>
    <t>Ayudas y donaciones programadas a hogares y personas</t>
  </si>
  <si>
    <t>2.6.1</t>
  </si>
  <si>
    <t>2.1.1.1.01</t>
  </si>
  <si>
    <t>2.1.1.4.01</t>
  </si>
  <si>
    <t>2.1.2.2.01</t>
  </si>
  <si>
    <t>2.1.5.1.01</t>
  </si>
  <si>
    <t>2.2.1.3.01</t>
  </si>
  <si>
    <t>2.2.1.5.01</t>
  </si>
  <si>
    <t>2.2.1.7.01</t>
  </si>
  <si>
    <t>2.2.1.8.01</t>
  </si>
  <si>
    <t>2.2.2.1.01</t>
  </si>
  <si>
    <t>2.2.3.1.01</t>
  </si>
  <si>
    <t>2.2.4.1.01</t>
  </si>
  <si>
    <t>2.2.5.1.01</t>
  </si>
  <si>
    <t>2.2.5.8.01</t>
  </si>
  <si>
    <t>2.2.6.2.01</t>
  </si>
  <si>
    <t>2.2.7.2.06</t>
  </si>
  <si>
    <t>2.2.8.2.01</t>
  </si>
  <si>
    <t>2.2.8.7.06</t>
  </si>
  <si>
    <t>2.3.1.2.01</t>
  </si>
  <si>
    <t>2.3.1.4.01</t>
  </si>
  <si>
    <t>2.3.5.3.01</t>
  </si>
  <si>
    <t>2.3.5.5.01</t>
  </si>
  <si>
    <t>2.3.7.1.01</t>
  </si>
  <si>
    <t>2.3.7.1.02</t>
  </si>
  <si>
    <t>2.3.7.1.04</t>
  </si>
  <si>
    <t>2.3.7.1.06</t>
  </si>
  <si>
    <t>2.3.7.2.06</t>
  </si>
  <si>
    <t>2.3.9.1.01</t>
  </si>
  <si>
    <t>2.3.9.2.01</t>
  </si>
  <si>
    <t>2.3.9.4.01</t>
  </si>
  <si>
    <t>2.3.9.5.01</t>
  </si>
  <si>
    <t>2.3.9.6.01</t>
  </si>
  <si>
    <t>2.4.1.2.01</t>
  </si>
  <si>
    <t>2.4.1.4.01</t>
  </si>
  <si>
    <t>2.6.1.1.01</t>
  </si>
  <si>
    <t>2.1.3.2.01</t>
  </si>
  <si>
    <t>2.2.8.8.01</t>
  </si>
  <si>
    <t>Impuestos</t>
  </si>
  <si>
    <t>2.2.9.2.01</t>
  </si>
  <si>
    <t>2.3.1.1.01</t>
  </si>
  <si>
    <t>EJECUTAR</t>
  </si>
  <si>
    <t>TOTAL POR</t>
  </si>
  <si>
    <t>2.6.1.4.01</t>
  </si>
  <si>
    <t>2.1.2.2.06</t>
  </si>
  <si>
    <t>2.6.1.3.01</t>
  </si>
  <si>
    <t>2.7.1.2.01</t>
  </si>
  <si>
    <t>Obras para edificación no residencial</t>
  </si>
  <si>
    <t>2.3.2.2.01</t>
  </si>
  <si>
    <t>2.3.2.3.01</t>
  </si>
  <si>
    <t>2.3.2.4.01</t>
  </si>
  <si>
    <t>2.3.7.2.99</t>
  </si>
  <si>
    <t>2.3.9.3.01</t>
  </si>
  <si>
    <t>2.3.9.8.01</t>
  </si>
  <si>
    <t>ABRIL</t>
  </si>
  <si>
    <t>2.3.7.1.05</t>
  </si>
  <si>
    <t>2.3.7.1.99</t>
  </si>
  <si>
    <t>Otros Combustibles</t>
  </si>
  <si>
    <t>Transferencias corrientes ocasionales a asociaciones sin fines de lucro</t>
  </si>
  <si>
    <t>2.4.1.6.05</t>
  </si>
  <si>
    <t>2.7.1</t>
  </si>
  <si>
    <t>2.4.1.2.05</t>
  </si>
  <si>
    <t>Subsidios para viviendas económicas</t>
  </si>
  <si>
    <t>Alimentos y bebidas para personas</t>
  </si>
  <si>
    <t>Otros productos químicos y conexos</t>
  </si>
  <si>
    <t>Repuestos</t>
  </si>
  <si>
    <t>Asignación</t>
  </si>
  <si>
    <t>Extrapresup.</t>
  </si>
  <si>
    <t>2.4.1.2.02</t>
  </si>
  <si>
    <t>Ayudas y donaciones ocasionales a hogares y personas</t>
  </si>
  <si>
    <t>2.1.5.3.01</t>
  </si>
  <si>
    <t>Becas nacionales</t>
  </si>
  <si>
    <t>Pasajes y gastos de transporte</t>
  </si>
  <si>
    <t>Servicios de alimentación</t>
  </si>
  <si>
    <t>Prendas y accesorios de vestir</t>
  </si>
  <si>
    <t>2.4.4.1.02</t>
  </si>
  <si>
    <t>Equipos de tecnología de la información y comunicación</t>
  </si>
  <si>
    <t>2.8.5</t>
  </si>
  <si>
    <t>Aportes de capital al sector público</t>
  </si>
  <si>
    <t>Obras en edificaciones</t>
  </si>
  <si>
    <t>Aportes de capital al sector público no financiero</t>
  </si>
  <si>
    <t>2.8.5.2.01</t>
  </si>
  <si>
    <t>2.3.9.9.01</t>
  </si>
  <si>
    <t>SEPT.</t>
  </si>
  <si>
    <t>OCT.</t>
  </si>
  <si>
    <t>2.1.1.2.04</t>
  </si>
  <si>
    <t>2.1.2.2.13</t>
  </si>
  <si>
    <t>Muebles, equipos de oficina y estantería</t>
  </si>
  <si>
    <t>AGOST</t>
  </si>
  <si>
    <t>2.3.6.3.06</t>
  </si>
  <si>
    <t>2.4.1.6.06</t>
  </si>
  <si>
    <t>Transferencias corrientes a federaciones deportivas</t>
  </si>
  <si>
    <t>2.6.8.8.02</t>
  </si>
  <si>
    <t>Licencias Intelectuales</t>
  </si>
  <si>
    <t>Gastos de representación en el país</t>
  </si>
  <si>
    <t>Útiles menores médico quirúrgicos y de laboratorio</t>
  </si>
  <si>
    <t>Productos metálicos</t>
  </si>
  <si>
    <t>Pinturas, lacas, barnices, diluyentes y absorbentes para pinturas</t>
  </si>
  <si>
    <t>Útiles y materiales de escritorio, oficina e informática</t>
  </si>
  <si>
    <t>2.4.1.6.01</t>
  </si>
  <si>
    <t>Transferencias corrientes programadas a asociaciones sin fines de lucro</t>
  </si>
  <si>
    <t>2.2.5.9.01</t>
  </si>
  <si>
    <t>2.6.4.1.01</t>
  </si>
  <si>
    <t>% POR</t>
  </si>
  <si>
    <t>Electricidad no cortable</t>
  </si>
  <si>
    <t>2.2.1.6.02</t>
  </si>
  <si>
    <t>Otros alquileres</t>
  </si>
  <si>
    <t>2.2.9</t>
  </si>
  <si>
    <t>Útiles destinados a actividades deportivas, culturales y recreativas</t>
  </si>
  <si>
    <t>Útiles de cocina y comedor</t>
  </si>
  <si>
    <t>Otras transferencias corrientes a empresas públicas no financieras nacionales</t>
  </si>
  <si>
    <t>2.6.1.2.01</t>
  </si>
  <si>
    <t>Muebles de alojamiento</t>
  </si>
  <si>
    <t>Electrodomésticos</t>
  </si>
  <si>
    <t>Incentivo por riesgo laboral al personal militar y policial</t>
  </si>
  <si>
    <t>Mantenimiento y reparación de equipos de transporte, tracción y elevación</t>
  </si>
  <si>
    <t>SERVICIOS NO INCLUIDOS EN CONCEPTOS ANTERIORES</t>
  </si>
  <si>
    <t>Comisiones y gastos</t>
  </si>
  <si>
    <t>Otros servicios técnicos profesionales</t>
  </si>
  <si>
    <t>OTRAS CONTRATACIONES DE SERVICIOS</t>
  </si>
  <si>
    <t>TEXTILES Y VESTUARIOS</t>
  </si>
  <si>
    <t>PRODUCTOS DE CUERO, CAUCHO Y PLÁSTICO</t>
  </si>
  <si>
    <t>PRODUCTOS DE MINERALES, METÁLICOS Y NO METÁLICOS</t>
  </si>
  <si>
    <t>2.6.8</t>
  </si>
  <si>
    <t>BIENES INTANGIBLES</t>
  </si>
  <si>
    <t>2.1.2.2.05</t>
  </si>
  <si>
    <t>Compensación servicios de seguridad</t>
  </si>
  <si>
    <t>2.2.7.2.05</t>
  </si>
  <si>
    <t>Mantenimiento y reparación de equipo de comunicación</t>
  </si>
  <si>
    <t>2.2.8.7.05</t>
  </si>
  <si>
    <t>Servicios de informática y sistemas computarizados</t>
  </si>
  <si>
    <t>Madera, corcho y sus manufacturas</t>
  </si>
  <si>
    <t>2.3.2.1.01</t>
  </si>
  <si>
    <t>Hilados, fibras y telas</t>
  </si>
  <si>
    <t>Libros, revistas y periódicos</t>
  </si>
  <si>
    <t>2.3.3.4.01</t>
  </si>
  <si>
    <t>2.3.3</t>
  </si>
  <si>
    <t>PRODUCTOS DE PAPEL, CARTÓN E IMPRESOS</t>
  </si>
  <si>
    <t>Productos medicinales para uso humano</t>
  </si>
  <si>
    <t>2.3.4.1.01</t>
  </si>
  <si>
    <t>2.3.4</t>
  </si>
  <si>
    <t>PRODUCTOS FARMACÉUTICOS</t>
  </si>
  <si>
    <t>2.3.7.2.03</t>
  </si>
  <si>
    <t>Productos químicos de uso personal y de laboratorios</t>
  </si>
  <si>
    <t>Gasto Anual</t>
  </si>
  <si>
    <t>Sueldo Anual No.13</t>
  </si>
  <si>
    <t>Impresión, encuadernación y rotulación</t>
  </si>
  <si>
    <t>2.2.2.2.01</t>
  </si>
  <si>
    <t>2.2.4.4.01</t>
  </si>
  <si>
    <t>Peaje</t>
  </si>
  <si>
    <t>2.2.8.7.04</t>
  </si>
  <si>
    <t>Servicios de capacitación</t>
  </si>
  <si>
    <t>2.3.3.1.01</t>
  </si>
  <si>
    <t>Papel de escritorio</t>
  </si>
  <si>
    <t>2.3.3.2.01</t>
  </si>
  <si>
    <t>Papel y cartón</t>
  </si>
  <si>
    <t>2.3.3.3.01</t>
  </si>
  <si>
    <t>Productos de artes gráficas</t>
  </si>
  <si>
    <t>Plástico</t>
  </si>
  <si>
    <t>2.3.9.2.02</t>
  </si>
  <si>
    <t>Útiles y materiales escolares y de enseñanzas</t>
  </si>
  <si>
    <t>2.1.3.2.02</t>
  </si>
  <si>
    <t>Gastos de representación en el exterior</t>
  </si>
  <si>
    <t>Licencias Informáticas</t>
  </si>
  <si>
    <t>2.2.7.2.02</t>
  </si>
  <si>
    <t>Mantenimiento y reparación de equipos de tecnología e información</t>
  </si>
  <si>
    <t>2.2.8.5.01</t>
  </si>
  <si>
    <t>Fumigación</t>
  </si>
  <si>
    <t>2.3.5.4.01</t>
  </si>
  <si>
    <t>Artículos de caucho</t>
  </si>
  <si>
    <t>2.3.6.2.01</t>
  </si>
  <si>
    <t>Productos de vidrio</t>
  </si>
  <si>
    <t>2.6.5</t>
  </si>
  <si>
    <t>Equipos de climatización</t>
  </si>
  <si>
    <t>MAQUINARIA, OTROS EQUIPOS Y HERRAMIENTAS</t>
  </si>
  <si>
    <t>2.6.5.4.02</t>
  </si>
  <si>
    <t>Equipo de comunicación, telecomunicaciones y señalización</t>
  </si>
  <si>
    <t>2.6.5.5.01</t>
  </si>
  <si>
    <t>Productos medicinales para uso veterinario</t>
  </si>
  <si>
    <t>2.3.4.2.01</t>
  </si>
  <si>
    <t>2.6.4</t>
  </si>
  <si>
    <t>Automóviles y camiones</t>
  </si>
  <si>
    <t>VEHÍCULOS Y EQUIPO DE TRANSPORTE, TRACCIÓN Y ELEVACIÓN</t>
  </si>
  <si>
    <t>2.6.4.8.01</t>
  </si>
  <si>
    <t>Otros equipos de transporte</t>
  </si>
  <si>
    <t>REMUNERACIONES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</si>
  <si>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</si>
  <si>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</si>
  <si>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</si>
  <si>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</si>
  <si>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</si>
  <si>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</si>
  <si>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</si>
  <si>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ALIMENTOS Y PRODUCTOS AGROFORESTALES</t>
  </si>
  <si>
    <t>COMBUSTIBLES, LUBRICANTES, PRODUCTOS QUÍMICOS Y CONEXOS</t>
  </si>
  <si>
    <t>PRODUCTOS Y ÚTILES VARIOS</t>
  </si>
  <si>
    <t>TRANSFERENCIAS CORRIENTES AL SECTOR PRIVADO</t>
  </si>
  <si>
    <t>MOBILIARIO Y EQUIPO</t>
  </si>
  <si>
    <t>TOTAL SUELDOS Y  GASTOS OPERACIONALES,…………..</t>
  </si>
  <si>
    <t>Sueldos a empleados fijos</t>
  </si>
  <si>
    <t>Personal de servicios especiales</t>
  </si>
  <si>
    <t>Incentivo por rendimiento individual</t>
  </si>
  <si>
    <t>Contribuciones al seguro de riesgo laboral</t>
  </si>
  <si>
    <t>2.2.8.9.04</t>
  </si>
  <si>
    <t>Otros gastos por indemnizaciones y compensaciones</t>
  </si>
  <si>
    <t>Indemnización laboral</t>
  </si>
  <si>
    <t>2.4.1.1.03</t>
  </si>
  <si>
    <t>2.6.8.3.01</t>
  </si>
  <si>
    <t>Programas de informática</t>
  </si>
  <si>
    <t>EJECUCIÓN</t>
  </si>
  <si>
    <t>Mantenimiento y reparación de instalaciones eléctricas</t>
  </si>
  <si>
    <t>2.2.7.1.06</t>
  </si>
  <si>
    <t>Eventos generales</t>
  </si>
  <si>
    <t>2.2.8.6.01</t>
  </si>
  <si>
    <t>Útiles y materiales de limpieza e higiene</t>
  </si>
  <si>
    <t>2.1.1.2.08</t>
  </si>
  <si>
    <t>Empleados temporales</t>
  </si>
  <si>
    <t>Mantenimiento y reparaciones menores en edificaciones</t>
  </si>
  <si>
    <t>2.2.7.1.01</t>
  </si>
  <si>
    <t>2.2.9.2.03</t>
  </si>
  <si>
    <t>Servicios de catering</t>
  </si>
  <si>
    <t>2.3.6.1.01</t>
  </si>
  <si>
    <t>Productos de cemento</t>
  </si>
  <si>
    <t>2.3.6.2.03</t>
  </si>
  <si>
    <t>Productos de porcelana</t>
  </si>
  <si>
    <t>Piedra, arcilla y arena</t>
  </si>
  <si>
    <t>2.3.6.4.04</t>
  </si>
  <si>
    <t>2.3.1.3.03</t>
  </si>
  <si>
    <t>Productos forestales</t>
  </si>
  <si>
    <t>NOV.</t>
  </si>
  <si>
    <t>DIC.</t>
  </si>
  <si>
    <t>2.2.8.6.02</t>
  </si>
  <si>
    <t>Festividades</t>
  </si>
  <si>
    <t>2.1.2.2.14</t>
  </si>
  <si>
    <t>Compensación especial al personal militar y policial</t>
  </si>
  <si>
    <t>Cueros y pieles</t>
  </si>
  <si>
    <t>EJECUCIÓN PRESUPUESTARIA CORRESPONDIENTE AL AÑO 2023</t>
  </si>
  <si>
    <t>Año 2023</t>
  </si>
  <si>
    <t>2.3.5.1.01</t>
  </si>
  <si>
    <t>2.2.1.1.01</t>
  </si>
  <si>
    <t>Radiocomunicación</t>
  </si>
  <si>
    <t>2.2.7.2.01</t>
  </si>
  <si>
    <t>Mantenimiento y reparación de muebles y equipos de oficina</t>
  </si>
  <si>
    <t>Productos y útiles veterinarios</t>
  </si>
  <si>
    <t>2.3.9.7.01</t>
  </si>
  <si>
    <t>2.1.2</t>
  </si>
  <si>
    <t>2.1.3</t>
  </si>
  <si>
    <t>2.1.5</t>
  </si>
  <si>
    <t>SOBRESUELDOS</t>
  </si>
  <si>
    <t>DIETAS Y GASTOS DE REPRESENTACIÓN</t>
  </si>
  <si>
    <t>CONTRIBUCIONES A LA SEGURIDAD SOCIAL</t>
  </si>
  <si>
    <t>2.6.2.3.01</t>
  </si>
  <si>
    <t>2.6.2</t>
  </si>
  <si>
    <t>MOBILIARIO Y EQUIPO DE AUDIO, AUDIOVISUAL, RECREATIVO YEDUCACIONAL</t>
  </si>
  <si>
    <t>Cámaras fotográficas y de video</t>
  </si>
  <si>
    <t>2.1.3.1.01</t>
  </si>
  <si>
    <t>Dietas en el país</t>
  </si>
  <si>
    <t>2.3.7.2.05</t>
  </si>
  <si>
    <t>Insecticidas, fumigantes y otros</t>
  </si>
  <si>
    <t>2.2.7.2.99</t>
  </si>
  <si>
    <t>Otros servicios de mantenimiento y reparación de maquinaria y equipos, no identificados en los conceptos anteriores.</t>
  </si>
  <si>
    <t>2.3.7.2.04</t>
  </si>
  <si>
    <t>Abonos y fertilizantes</t>
  </si>
  <si>
    <t>2.2.7.1.02</t>
  </si>
  <si>
    <t>Servicios especiales de mantenimiento y reparación</t>
  </si>
  <si>
    <t>Servicios sanitarios médicos y veterinarios</t>
  </si>
  <si>
    <t>2.2.8.3.01</t>
  </si>
  <si>
    <t>Equipos y aparatos audiovisuales</t>
  </si>
  <si>
    <t>2.6.2.1.01</t>
  </si>
  <si>
    <t>Viáticos fuera del país</t>
  </si>
  <si>
    <t>2.2.3.3.01</t>
  </si>
  <si>
    <t>2.3.9.9.05</t>
  </si>
  <si>
    <t>Productos y útiles diversos</t>
  </si>
  <si>
    <t>Asignacionesdegastosdestinadasalaadquisiciónproductos</t>
  </si>
  <si>
    <t>Productos y útiles Varios n.i.p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</si>
</sst>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-* #,##0.00\ _€_-;\-* #,##0.0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[$-1C0A]dddd\,\ dd&quot; de &quot;mmmm&quot; de &quot;yyyy"/>
    <numFmt numFmtId="179" formatCode="[$-1C0A]hh:mm:ss\ AM/PM"/>
    <numFmt numFmtId="180" formatCode="#,##0.000000000_);[Red]\(#,##0.000000000\)"/>
    <numFmt numFmtId="181" formatCode="#,##0.0000000000_);[Red]\(#,##0.0000000000\)"/>
    <numFmt numFmtId="182" formatCode="#,##0.00000000000_);[Red]\(#,##0.00000000000\)"/>
    <numFmt numFmtId="183" formatCode="#,##0.00000000_);[Red]\(#,##0.00000000\)"/>
    <numFmt numFmtId="184" formatCode="#,##0.0000000_);[Red]\(#,##0.0000000\)"/>
    <numFmt numFmtId="185" formatCode="#,##0.000000_);[Red]\(#,##0.000000\)"/>
    <numFmt numFmtId="186" formatCode="#,##0.00000_);[Red]\(#,##0.00000\)"/>
    <numFmt numFmtId="187" formatCode="#,##0.0000_);[Red]\(#,##0.0000\)"/>
    <numFmt numFmtId="188" formatCode="#,##0.000_);[Red]\(#,##0.000\)"/>
    <numFmt numFmtId="189" formatCode="#,##0.0_);[Red]\(#,##0.0\)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51">
    <xf numFmtId="0" fontId="0" fillId="0" borderId="0" xfId="0" applyFont="1" applyAlignment="1">
      <alignment/>
    </xf>
    <xf numFmtId="0" fontId="0" fillId="0" borderId="0" xfId="59" applyFill="1" applyBorder="1">
      <alignment/>
      <protection/>
    </xf>
    <xf numFmtId="0" fontId="0" fillId="0" borderId="0" xfId="59" applyBorder="1">
      <alignment/>
      <protection/>
    </xf>
    <xf numFmtId="0" fontId="0" fillId="0" borderId="0" xfId="59">
      <alignment/>
      <protection/>
    </xf>
    <xf numFmtId="0" fontId="0" fillId="0" borderId="0" xfId="59" applyFont="1">
      <alignment/>
      <protection/>
    </xf>
    <xf numFmtId="0" fontId="19" fillId="33" borderId="10" xfId="59" applyFont="1" applyFill="1" applyBorder="1" applyAlignment="1">
      <alignment horizontal="left"/>
      <protection/>
    </xf>
    <xf numFmtId="0" fontId="41" fillId="34" borderId="11" xfId="59" applyFont="1" applyFill="1" applyBorder="1">
      <alignment/>
      <protection/>
    </xf>
    <xf numFmtId="0" fontId="0" fillId="0" borderId="12" xfId="59" applyBorder="1">
      <alignment/>
      <protection/>
    </xf>
    <xf numFmtId="0" fontId="42" fillId="33" borderId="11" xfId="59" applyFont="1" applyFill="1" applyBorder="1">
      <alignment/>
      <protection/>
    </xf>
    <xf numFmtId="0" fontId="41" fillId="0" borderId="11" xfId="59" applyFont="1" applyFill="1" applyBorder="1">
      <alignment/>
      <protection/>
    </xf>
    <xf numFmtId="0" fontId="0" fillId="0" borderId="0" xfId="59" applyFill="1">
      <alignment/>
      <protection/>
    </xf>
    <xf numFmtId="0" fontId="0" fillId="0" borderId="12" xfId="59" applyFill="1" applyBorder="1">
      <alignment/>
      <protection/>
    </xf>
    <xf numFmtId="0" fontId="0" fillId="9" borderId="0" xfId="59" applyFill="1">
      <alignment/>
      <protection/>
    </xf>
    <xf numFmtId="0" fontId="0" fillId="0" borderId="0" xfId="59" applyFont="1" applyFill="1" applyBorder="1">
      <alignment/>
      <protection/>
    </xf>
    <xf numFmtId="0" fontId="41" fillId="34" borderId="11" xfId="59" applyFont="1" applyFill="1" applyBorder="1" applyAlignment="1">
      <alignment wrapText="1"/>
      <protection/>
    </xf>
    <xf numFmtId="0" fontId="0" fillId="0" borderId="0" xfId="59" applyFont="1" applyFill="1">
      <alignment/>
      <protection/>
    </xf>
    <xf numFmtId="0" fontId="43" fillId="0" borderId="0" xfId="59" applyFont="1">
      <alignment/>
      <protection/>
    </xf>
    <xf numFmtId="0" fontId="0" fillId="0" borderId="0" xfId="59" applyFont="1" applyBorder="1">
      <alignment/>
      <protection/>
    </xf>
    <xf numFmtId="10" fontId="0" fillId="0" borderId="0" xfId="59" applyNumberFormat="1" applyFont="1">
      <alignment/>
      <protection/>
    </xf>
    <xf numFmtId="40" fontId="0" fillId="0" borderId="0" xfId="59" applyNumberFormat="1" applyFont="1" applyBorder="1">
      <alignment/>
      <protection/>
    </xf>
    <xf numFmtId="0" fontId="40" fillId="33" borderId="11" xfId="59" applyFont="1" applyFill="1" applyBorder="1">
      <alignment/>
      <protection/>
    </xf>
    <xf numFmtId="40" fontId="0" fillId="0" borderId="0" xfId="59" applyNumberFormat="1" applyFont="1">
      <alignment/>
      <protection/>
    </xf>
    <xf numFmtId="0" fontId="41" fillId="34" borderId="11" xfId="58" applyFont="1" applyFill="1" applyBorder="1">
      <alignment/>
      <protection/>
    </xf>
    <xf numFmtId="0" fontId="41" fillId="0" borderId="11" xfId="58" applyFont="1" applyFill="1" applyBorder="1">
      <alignment/>
      <protection/>
    </xf>
    <xf numFmtId="0" fontId="0" fillId="0" borderId="11" xfId="58" applyFont="1" applyFill="1" applyBorder="1" applyAlignment="1">
      <alignment wrapText="1"/>
      <protection/>
    </xf>
    <xf numFmtId="0" fontId="0" fillId="0" borderId="11" xfId="59" applyFont="1" applyBorder="1" applyAlignment="1">
      <alignment horizontal="left"/>
      <protection/>
    </xf>
    <xf numFmtId="0" fontId="19" fillId="33" borderId="10" xfId="59" applyFont="1" applyFill="1" applyBorder="1" applyAlignment="1">
      <alignment horizontal="left" wrapText="1"/>
      <protection/>
    </xf>
    <xf numFmtId="0" fontId="0" fillId="0" borderId="11" xfId="59" applyFont="1" applyBorder="1" applyAlignment="1">
      <alignment wrapText="1"/>
      <protection/>
    </xf>
    <xf numFmtId="0" fontId="41" fillId="0" borderId="11" xfId="58" applyFont="1" applyFill="1" applyBorder="1" applyAlignment="1">
      <alignment horizontal="left" vertical="center" wrapText="1"/>
      <protection/>
    </xf>
    <xf numFmtId="0" fontId="41" fillId="0" borderId="11" xfId="58" applyFont="1" applyFill="1" applyBorder="1" applyAlignment="1">
      <alignment wrapText="1"/>
      <protection/>
    </xf>
    <xf numFmtId="0" fontId="41" fillId="0" borderId="11" xfId="58" applyFont="1" applyFill="1" applyBorder="1" applyAlignment="1">
      <alignment horizontal="left" wrapText="1"/>
      <protection/>
    </xf>
    <xf numFmtId="0" fontId="42" fillId="33" borderId="11" xfId="59" applyFont="1" applyFill="1" applyBorder="1" applyAlignment="1">
      <alignment wrapText="1"/>
      <protection/>
    </xf>
    <xf numFmtId="0" fontId="21" fillId="0" borderId="11" xfId="58" applyFont="1" applyFill="1" applyBorder="1">
      <alignment/>
      <protection/>
    </xf>
    <xf numFmtId="0" fontId="41" fillId="34" borderId="11" xfId="59" applyFont="1" applyFill="1" applyBorder="1" applyAlignment="1">
      <alignment horizontal="left" vertical="center" wrapText="1"/>
      <protection/>
    </xf>
    <xf numFmtId="43" fontId="21" fillId="0" borderId="11" xfId="47" applyFont="1" applyBorder="1" applyAlignment="1">
      <alignment vertical="center"/>
    </xf>
    <xf numFmtId="0" fontId="40" fillId="33" borderId="11" xfId="59" applyFont="1" applyFill="1" applyBorder="1" applyAlignment="1">
      <alignment vertical="center"/>
      <protection/>
    </xf>
    <xf numFmtId="0" fontId="42" fillId="33" borderId="11" xfId="59" applyFont="1" applyFill="1" applyBorder="1" applyAlignment="1">
      <alignment horizontal="left" vertical="center" wrapText="1"/>
      <protection/>
    </xf>
    <xf numFmtId="0" fontId="41" fillId="0" borderId="11" xfId="58" applyFont="1" applyFill="1" applyBorder="1" applyAlignment="1">
      <alignment vertical="center" wrapText="1"/>
      <protection/>
    </xf>
    <xf numFmtId="43" fontId="21" fillId="34" borderId="11" xfId="47" applyFont="1" applyFill="1" applyBorder="1" applyAlignment="1">
      <alignment vertical="center"/>
    </xf>
    <xf numFmtId="43" fontId="21" fillId="0" borderId="11" xfId="47" applyFont="1" applyFill="1" applyBorder="1" applyAlignment="1">
      <alignment vertical="center"/>
    </xf>
    <xf numFmtId="43" fontId="21" fillId="4" borderId="11" xfId="47" applyFont="1" applyFill="1" applyBorder="1" applyAlignment="1">
      <alignment vertical="center"/>
    </xf>
    <xf numFmtId="43" fontId="0" fillId="0" borderId="11" xfId="47" applyFont="1" applyFill="1" applyBorder="1" applyAlignment="1">
      <alignment vertical="center"/>
    </xf>
    <xf numFmtId="43" fontId="0" fillId="34" borderId="11" xfId="47" applyFont="1" applyFill="1" applyBorder="1" applyAlignment="1">
      <alignment vertical="center"/>
    </xf>
    <xf numFmtId="0" fontId="0" fillId="34" borderId="11" xfId="59" applyFont="1" applyFill="1" applyBorder="1">
      <alignment/>
      <protection/>
    </xf>
    <xf numFmtId="40" fontId="21" fillId="4" borderId="11" xfId="59" applyNumberFormat="1" applyFont="1" applyFill="1" applyBorder="1" applyAlignment="1">
      <alignment vertical="center"/>
      <protection/>
    </xf>
    <xf numFmtId="10" fontId="21" fillId="4" borderId="11" xfId="59" applyNumberFormat="1" applyFont="1" applyFill="1" applyBorder="1" applyAlignment="1">
      <alignment vertical="center"/>
      <protection/>
    </xf>
    <xf numFmtId="40" fontId="21" fillId="2" borderId="11" xfId="59" applyNumberFormat="1" applyFont="1" applyFill="1" applyBorder="1" applyAlignment="1">
      <alignment vertical="center"/>
      <protection/>
    </xf>
    <xf numFmtId="10" fontId="21" fillId="2" borderId="11" xfId="59" applyNumberFormat="1" applyFont="1" applyFill="1" applyBorder="1" applyAlignment="1">
      <alignment vertical="center"/>
      <protection/>
    </xf>
    <xf numFmtId="43" fontId="19" fillId="0" borderId="11" xfId="47" applyFont="1" applyFill="1" applyBorder="1" applyAlignment="1">
      <alignment vertical="center"/>
    </xf>
    <xf numFmtId="43" fontId="36" fillId="0" borderId="11" xfId="47" applyFont="1" applyFill="1" applyBorder="1" applyAlignment="1">
      <alignment vertical="center"/>
    </xf>
    <xf numFmtId="40" fontId="21" fillId="0" borderId="11" xfId="59" applyNumberFormat="1" applyFont="1" applyFill="1" applyBorder="1" applyAlignment="1">
      <alignment vertical="center"/>
      <protection/>
    </xf>
    <xf numFmtId="40" fontId="36" fillId="0" borderId="11" xfId="59" applyNumberFormat="1" applyFont="1" applyFill="1" applyBorder="1" applyAlignment="1">
      <alignment vertical="center"/>
      <protection/>
    </xf>
    <xf numFmtId="40" fontId="21" fillId="10" borderId="11" xfId="59" applyNumberFormat="1" applyFont="1" applyFill="1" applyBorder="1" applyAlignment="1">
      <alignment vertical="center"/>
      <protection/>
    </xf>
    <xf numFmtId="43" fontId="21" fillId="7" borderId="11" xfId="47" applyFont="1" applyFill="1" applyBorder="1" applyAlignment="1">
      <alignment vertical="center"/>
    </xf>
    <xf numFmtId="43" fontId="21" fillId="0" borderId="11" xfId="47" applyFont="1" applyFill="1" applyBorder="1" applyAlignment="1">
      <alignment horizontal="center" vertical="center"/>
    </xf>
    <xf numFmtId="40" fontId="21" fillId="0" borderId="11" xfId="59" applyNumberFormat="1" applyFont="1" applyFill="1" applyBorder="1" applyAlignment="1">
      <alignment horizontal="center" vertical="center"/>
      <protection/>
    </xf>
    <xf numFmtId="40" fontId="21" fillId="0" borderId="11" xfId="59" applyNumberFormat="1" applyFont="1" applyBorder="1" applyAlignment="1">
      <alignment vertical="center"/>
      <protection/>
    </xf>
    <xf numFmtId="0" fontId="41" fillId="34" borderId="11" xfId="58" applyFont="1" applyFill="1" applyBorder="1" applyAlignment="1">
      <alignment horizontal="left" vertical="center" wrapText="1"/>
      <protection/>
    </xf>
    <xf numFmtId="0" fontId="41" fillId="34" borderId="11" xfId="59" applyFont="1" applyFill="1" applyBorder="1" applyAlignment="1">
      <alignment vertical="center" wrapText="1"/>
      <protection/>
    </xf>
    <xf numFmtId="43" fontId="0" fillId="0" borderId="0" xfId="47" applyAlignment="1">
      <alignment/>
    </xf>
    <xf numFmtId="43" fontId="0" fillId="0" borderId="0" xfId="47" applyFont="1" applyBorder="1" applyAlignment="1">
      <alignment/>
    </xf>
    <xf numFmtId="0" fontId="22" fillId="10" borderId="13" xfId="59" applyFont="1" applyFill="1" applyBorder="1" applyAlignment="1">
      <alignment horizontal="center" vertical="center" wrapText="1"/>
      <protection/>
    </xf>
    <xf numFmtId="0" fontId="19" fillId="10" borderId="13" xfId="59" applyFont="1" applyFill="1" applyBorder="1" applyAlignment="1">
      <alignment horizontal="center"/>
      <protection/>
    </xf>
    <xf numFmtId="0" fontId="19" fillId="10" borderId="0" xfId="59" applyFont="1" applyFill="1" applyBorder="1" applyAlignment="1">
      <alignment horizontal="center"/>
      <protection/>
    </xf>
    <xf numFmtId="0" fontId="19" fillId="10" borderId="14" xfId="59" applyFont="1" applyFill="1" applyBorder="1" applyAlignment="1">
      <alignment horizontal="center"/>
      <protection/>
    </xf>
    <xf numFmtId="43" fontId="19" fillId="33" borderId="10" xfId="47" applyFont="1" applyFill="1" applyBorder="1" applyAlignment="1">
      <alignment vertical="center"/>
    </xf>
    <xf numFmtId="43" fontId="19" fillId="33" borderId="11" xfId="47" applyFont="1" applyFill="1" applyBorder="1" applyAlignment="1">
      <alignment vertical="center"/>
    </xf>
    <xf numFmtId="40" fontId="19" fillId="33" borderId="15" xfId="59" applyNumberFormat="1" applyFont="1" applyFill="1" applyBorder="1" applyAlignment="1">
      <alignment vertical="center"/>
      <protection/>
    </xf>
    <xf numFmtId="10" fontId="19" fillId="33" borderId="10" xfId="59" applyNumberFormat="1" applyFont="1" applyFill="1" applyBorder="1" applyAlignment="1">
      <alignment vertical="center"/>
      <protection/>
    </xf>
    <xf numFmtId="40" fontId="19" fillId="33" borderId="10" xfId="59" applyNumberFormat="1" applyFont="1" applyFill="1" applyBorder="1" applyAlignment="1">
      <alignment vertical="center"/>
      <protection/>
    </xf>
    <xf numFmtId="40" fontId="19" fillId="33" borderId="11" xfId="59" applyNumberFormat="1" applyFont="1" applyFill="1" applyBorder="1" applyAlignment="1">
      <alignment vertical="center"/>
      <protection/>
    </xf>
    <xf numFmtId="10" fontId="19" fillId="33" borderId="11" xfId="59" applyNumberFormat="1" applyFont="1" applyFill="1" applyBorder="1" applyAlignment="1">
      <alignment vertical="center"/>
      <protection/>
    </xf>
    <xf numFmtId="10" fontId="21" fillId="33" borderId="11" xfId="59" applyNumberFormat="1" applyFont="1" applyFill="1" applyBorder="1" applyAlignment="1">
      <alignment vertical="center"/>
      <protection/>
    </xf>
    <xf numFmtId="43" fontId="42" fillId="11" borderId="11" xfId="47" applyFont="1" applyFill="1" applyBorder="1" applyAlignment="1">
      <alignment vertical="center"/>
    </xf>
    <xf numFmtId="40" fontId="19" fillId="11" borderId="11" xfId="59" applyNumberFormat="1" applyFont="1" applyFill="1" applyBorder="1" applyAlignment="1">
      <alignment vertical="center"/>
      <protection/>
    </xf>
    <xf numFmtId="10" fontId="19" fillId="11" borderId="11" xfId="59" applyNumberFormat="1" applyFont="1" applyFill="1" applyBorder="1" applyAlignment="1">
      <alignment vertical="center"/>
      <protection/>
    </xf>
    <xf numFmtId="40" fontId="42" fillId="11" borderId="11" xfId="59" applyNumberFormat="1" applyFont="1" applyFill="1" applyBorder="1" applyAlignment="1">
      <alignment vertical="center"/>
      <protection/>
    </xf>
    <xf numFmtId="10" fontId="42" fillId="11" borderId="11" xfId="59" applyNumberFormat="1" applyFont="1" applyFill="1" applyBorder="1" applyAlignment="1">
      <alignment vertical="center"/>
      <protection/>
    </xf>
    <xf numFmtId="0" fontId="0" fillId="34" borderId="11" xfId="59" applyFont="1" applyFill="1" applyBorder="1" applyAlignment="1">
      <alignment vertical="center"/>
      <protection/>
    </xf>
    <xf numFmtId="43" fontId="0" fillId="0" borderId="0" xfId="47" applyFont="1" applyAlignment="1">
      <alignment/>
    </xf>
    <xf numFmtId="43" fontId="19" fillId="11" borderId="11" xfId="47" applyFont="1" applyFill="1" applyBorder="1" applyAlignment="1">
      <alignment vertical="center"/>
    </xf>
    <xf numFmtId="10" fontId="0" fillId="0" borderId="0" xfId="59" applyNumberFormat="1" applyFont="1" applyBorder="1">
      <alignment/>
      <protection/>
    </xf>
    <xf numFmtId="0" fontId="0" fillId="34" borderId="11" xfId="58" applyFont="1" applyFill="1" applyBorder="1">
      <alignment/>
      <protection/>
    </xf>
    <xf numFmtId="0" fontId="21" fillId="0" borderId="11" xfId="58" applyFont="1" applyFill="1" applyBorder="1" applyAlignment="1">
      <alignment vertical="center"/>
      <protection/>
    </xf>
    <xf numFmtId="0" fontId="41" fillId="34" borderId="11" xfId="58" applyFont="1" applyFill="1" applyBorder="1" applyAlignment="1">
      <alignment horizontal="left" vertical="center"/>
      <protection/>
    </xf>
    <xf numFmtId="0" fontId="40" fillId="33" borderId="11" xfId="59" applyFont="1" applyFill="1" applyBorder="1" applyAlignment="1">
      <alignment horizontal="left" vertical="center" wrapText="1"/>
      <protection/>
    </xf>
    <xf numFmtId="0" fontId="40" fillId="33" borderId="11" xfId="59" applyFont="1" applyFill="1" applyBorder="1" applyAlignment="1">
      <alignment vertical="center" wrapText="1"/>
      <protection/>
    </xf>
    <xf numFmtId="40" fontId="21" fillId="34" borderId="11" xfId="59" applyNumberFormat="1" applyFont="1" applyFill="1" applyBorder="1" applyAlignment="1">
      <alignment vertical="center"/>
      <protection/>
    </xf>
    <xf numFmtId="10" fontId="21" fillId="34" borderId="11" xfId="59" applyNumberFormat="1" applyFont="1" applyFill="1" applyBorder="1" applyAlignment="1">
      <alignment vertical="center"/>
      <protection/>
    </xf>
    <xf numFmtId="40" fontId="19" fillId="34" borderId="11" xfId="59" applyNumberFormat="1" applyFont="1" applyFill="1" applyBorder="1" applyAlignment="1">
      <alignment vertical="center"/>
      <protection/>
    </xf>
    <xf numFmtId="43" fontId="21" fillId="34" borderId="11" xfId="59" applyNumberFormat="1" applyFont="1" applyFill="1" applyBorder="1" applyAlignment="1">
      <alignment vertical="center"/>
      <protection/>
    </xf>
    <xf numFmtId="43" fontId="43" fillId="0" borderId="0" xfId="59" applyNumberFormat="1" applyFont="1">
      <alignment/>
      <protection/>
    </xf>
    <xf numFmtId="0" fontId="0" fillId="0" borderId="11" xfId="59" applyFont="1" applyFill="1" applyBorder="1">
      <alignment/>
      <protection/>
    </xf>
    <xf numFmtId="49" fontId="22" fillId="10" borderId="14" xfId="47" applyNumberFormat="1" applyFont="1" applyFill="1" applyBorder="1" applyAlignment="1">
      <alignment horizontal="center" vertical="center" wrapText="1"/>
    </xf>
    <xf numFmtId="0" fontId="0" fillId="34" borderId="11" xfId="58" applyFont="1" applyFill="1" applyBorder="1" applyAlignment="1">
      <alignment vertical="center"/>
      <protection/>
    </xf>
    <xf numFmtId="0" fontId="0" fillId="34" borderId="11" xfId="58" applyFont="1" applyFill="1" applyBorder="1">
      <alignment/>
      <protection/>
    </xf>
    <xf numFmtId="0" fontId="0" fillId="0" borderId="11" xfId="58" applyFont="1" applyFill="1" applyBorder="1" applyAlignment="1">
      <alignment vertical="center"/>
      <protection/>
    </xf>
    <xf numFmtId="0" fontId="0" fillId="0" borderId="11" xfId="58" applyFont="1" applyFill="1" applyBorder="1">
      <alignment/>
      <protection/>
    </xf>
    <xf numFmtId="0" fontId="43" fillId="0" borderId="0" xfId="59" applyFont="1" applyBorder="1">
      <alignment/>
      <protection/>
    </xf>
    <xf numFmtId="0" fontId="40" fillId="33" borderId="11" xfId="59" applyFont="1" applyFill="1" applyBorder="1" applyAlignment="1">
      <alignment horizontal="left" wrapText="1"/>
      <protection/>
    </xf>
    <xf numFmtId="0" fontId="42" fillId="33" borderId="11" xfId="59" applyFont="1" applyFill="1" applyBorder="1" applyAlignment="1">
      <alignment vertical="center" wrapText="1"/>
      <protection/>
    </xf>
    <xf numFmtId="0" fontId="0" fillId="34" borderId="11" xfId="58" applyFont="1" applyFill="1" applyBorder="1" applyAlignment="1">
      <alignment vertical="center"/>
      <protection/>
    </xf>
    <xf numFmtId="0" fontId="0" fillId="0" borderId="11" xfId="58" applyFont="1" applyFill="1" applyBorder="1">
      <alignment/>
      <protection/>
    </xf>
    <xf numFmtId="0" fontId="0" fillId="0" borderId="11" xfId="58" applyFont="1" applyFill="1" applyBorder="1" applyAlignment="1">
      <alignment horizontal="left" vertical="center"/>
      <protection/>
    </xf>
    <xf numFmtId="0" fontId="19" fillId="10" borderId="13" xfId="59" applyFont="1" applyFill="1" applyBorder="1" applyAlignment="1">
      <alignment horizontal="center" wrapText="1"/>
      <protection/>
    </xf>
    <xf numFmtId="0" fontId="19" fillId="10" borderId="14" xfId="59" applyFont="1" applyFill="1" applyBorder="1" applyAlignment="1">
      <alignment horizontal="center" wrapText="1"/>
      <protection/>
    </xf>
    <xf numFmtId="0" fontId="41" fillId="34" borderId="11" xfId="58" applyFont="1" applyFill="1" applyBorder="1" applyAlignment="1">
      <alignment horizontal="center" vertical="center" wrapText="1"/>
      <protection/>
    </xf>
    <xf numFmtId="0" fontId="0" fillId="34" borderId="11" xfId="58" applyFont="1" applyFill="1" applyBorder="1">
      <alignment/>
      <protection/>
    </xf>
    <xf numFmtId="0" fontId="40" fillId="0" borderId="0" xfId="59" applyFont="1" applyBorder="1" applyAlignment="1">
      <alignment horizontal="right"/>
      <protection/>
    </xf>
    <xf numFmtId="0" fontId="0" fillId="0" borderId="11" xfId="58" applyFont="1" applyFill="1" applyBorder="1" applyAlignment="1">
      <alignment vertical="center"/>
      <protection/>
    </xf>
    <xf numFmtId="43" fontId="19" fillId="33" borderId="11" xfId="59" applyNumberFormat="1" applyFont="1" applyFill="1" applyBorder="1" applyAlignment="1">
      <alignment vertical="center"/>
      <protection/>
    </xf>
    <xf numFmtId="0" fontId="0" fillId="34" borderId="11" xfId="58" applyFont="1" applyFill="1" applyBorder="1">
      <alignment/>
      <protection/>
    </xf>
    <xf numFmtId="0" fontId="0" fillId="0" borderId="11" xfId="58" applyFont="1" applyFill="1" applyBorder="1" applyAlignment="1">
      <alignment vertical="center"/>
      <protection/>
    </xf>
    <xf numFmtId="0" fontId="0" fillId="0" borderId="11" xfId="59" applyFont="1" applyFill="1" applyBorder="1">
      <alignment/>
      <protection/>
    </xf>
    <xf numFmtId="0" fontId="0" fillId="34" borderId="11" xfId="58" applyFont="1" applyFill="1" applyBorder="1" applyAlignment="1">
      <alignment vertical="center"/>
      <protection/>
    </xf>
    <xf numFmtId="0" fontId="0" fillId="34" borderId="11" xfId="58" applyFont="1" applyFill="1" applyBorder="1">
      <alignment/>
      <protection/>
    </xf>
    <xf numFmtId="43" fontId="0" fillId="0" borderId="0" xfId="47" applyBorder="1" applyAlignment="1">
      <alignment/>
    </xf>
    <xf numFmtId="43" fontId="22" fillId="10" borderId="16" xfId="47" applyFont="1" applyFill="1" applyBorder="1" applyAlignment="1">
      <alignment horizontal="center" vertical="center" wrapText="1"/>
    </xf>
    <xf numFmtId="43" fontId="22" fillId="10" borderId="17" xfId="47" applyFont="1" applyFill="1" applyBorder="1" applyAlignment="1">
      <alignment horizontal="center" vertical="center" wrapText="1"/>
    </xf>
    <xf numFmtId="43" fontId="0" fillId="0" borderId="11" xfId="47" applyFont="1" applyBorder="1" applyAlignment="1">
      <alignment/>
    </xf>
    <xf numFmtId="43" fontId="41" fillId="34" borderId="10" xfId="47" applyFont="1" applyFill="1" applyBorder="1" applyAlignment="1">
      <alignment/>
    </xf>
    <xf numFmtId="0" fontId="0" fillId="34" borderId="11" xfId="58" applyFont="1" applyFill="1" applyBorder="1">
      <alignment/>
      <protection/>
    </xf>
    <xf numFmtId="0" fontId="0" fillId="34" borderId="11" xfId="58" applyFont="1" applyFill="1" applyBorder="1">
      <alignment/>
      <protection/>
    </xf>
    <xf numFmtId="0" fontId="0" fillId="0" borderId="11" xfId="58" applyFont="1" applyFill="1" applyBorder="1" applyAlignment="1">
      <alignment vertical="center"/>
      <protection/>
    </xf>
    <xf numFmtId="0" fontId="0" fillId="34" borderId="11" xfId="58" applyFont="1" applyFill="1" applyBorder="1" applyAlignment="1">
      <alignment vertical="center"/>
      <protection/>
    </xf>
    <xf numFmtId="0" fontId="0" fillId="0" borderId="11" xfId="59" applyFont="1" applyFill="1" applyBorder="1">
      <alignment/>
      <protection/>
    </xf>
    <xf numFmtId="0" fontId="0" fillId="34" borderId="11" xfId="58" applyFont="1" applyFill="1" applyBorder="1" applyAlignment="1">
      <alignment vertical="center"/>
      <protection/>
    </xf>
    <xf numFmtId="0" fontId="0" fillId="0" borderId="11" xfId="58" applyFont="1" applyFill="1" applyBorder="1" applyAlignment="1">
      <alignment vertical="center"/>
      <protection/>
    </xf>
    <xf numFmtId="0" fontId="0" fillId="0" borderId="11" xfId="58" applyFont="1" applyFill="1" applyBorder="1">
      <alignment/>
      <protection/>
    </xf>
    <xf numFmtId="0" fontId="0" fillId="0" borderId="11" xfId="58" applyFont="1" applyFill="1" applyBorder="1" applyAlignment="1">
      <alignment vertical="center"/>
      <protection/>
    </xf>
    <xf numFmtId="0" fontId="0" fillId="0" borderId="11" xfId="58" applyFont="1" applyFill="1" applyBorder="1">
      <alignment/>
      <protection/>
    </xf>
    <xf numFmtId="0" fontId="0" fillId="0" borderId="11" xfId="59" applyFont="1" applyFill="1" applyBorder="1">
      <alignment/>
      <protection/>
    </xf>
    <xf numFmtId="0" fontId="0" fillId="34" borderId="11" xfId="58" applyFont="1" applyFill="1" applyBorder="1">
      <alignment/>
      <protection/>
    </xf>
    <xf numFmtId="0" fontId="0" fillId="34" borderId="0" xfId="59" applyFill="1" applyBorder="1">
      <alignment/>
      <protection/>
    </xf>
    <xf numFmtId="10" fontId="0" fillId="34" borderId="0" xfId="59" applyNumberFormat="1" applyFont="1" applyFill="1">
      <alignment/>
      <protection/>
    </xf>
    <xf numFmtId="40" fontId="0" fillId="34" borderId="0" xfId="59" applyNumberFormat="1" applyFont="1" applyFill="1" applyBorder="1">
      <alignment/>
      <protection/>
    </xf>
    <xf numFmtId="40" fontId="0" fillId="34" borderId="0" xfId="59" applyNumberFormat="1" applyFont="1" applyFill="1">
      <alignment/>
      <protection/>
    </xf>
    <xf numFmtId="0" fontId="0" fillId="34" borderId="0" xfId="59" applyFont="1" applyFill="1" applyBorder="1">
      <alignment/>
      <protection/>
    </xf>
    <xf numFmtId="0" fontId="0" fillId="34" borderId="0" xfId="59" applyFont="1" applyFill="1">
      <alignment/>
      <protection/>
    </xf>
    <xf numFmtId="0" fontId="0" fillId="34" borderId="0" xfId="59" applyFill="1">
      <alignment/>
      <protection/>
    </xf>
    <xf numFmtId="0" fontId="44" fillId="10" borderId="18" xfId="0" applyFont="1" applyFill="1" applyBorder="1" applyAlignment="1">
      <alignment horizontal="center" vertical="center"/>
    </xf>
    <xf numFmtId="0" fontId="44" fillId="10" borderId="19" xfId="0" applyFont="1" applyFill="1" applyBorder="1" applyAlignment="1">
      <alignment horizontal="center" vertical="center"/>
    </xf>
    <xf numFmtId="0" fontId="44" fillId="10" borderId="20" xfId="0" applyFont="1" applyFill="1" applyBorder="1" applyAlignment="1">
      <alignment horizontal="center" vertical="center"/>
    </xf>
    <xf numFmtId="0" fontId="40" fillId="11" borderId="11" xfId="59" applyFont="1" applyFill="1" applyBorder="1" applyAlignment="1">
      <alignment horizontal="right"/>
      <protection/>
    </xf>
    <xf numFmtId="0" fontId="22" fillId="10" borderId="21" xfId="59" applyFont="1" applyFill="1" applyBorder="1" applyAlignment="1">
      <alignment horizontal="center" vertical="center"/>
      <protection/>
    </xf>
    <xf numFmtId="0" fontId="22" fillId="10" borderId="22" xfId="59" applyFont="1" applyFill="1" applyBorder="1" applyAlignment="1">
      <alignment horizontal="center" vertical="center"/>
      <protection/>
    </xf>
    <xf numFmtId="0" fontId="0" fillId="0" borderId="0" xfId="59" applyBorder="1" applyAlignment="1">
      <alignment horizontal="center"/>
      <protection/>
    </xf>
    <xf numFmtId="0" fontId="44" fillId="0" borderId="0" xfId="59" applyFont="1" applyBorder="1" applyAlignment="1">
      <alignment horizontal="center"/>
      <protection/>
    </xf>
    <xf numFmtId="0" fontId="45" fillId="0" borderId="0" xfId="59" applyFont="1" applyBorder="1" applyAlignment="1">
      <alignment horizontal="center"/>
      <protection/>
    </xf>
    <xf numFmtId="0" fontId="19" fillId="10" borderId="13" xfId="59" applyFont="1" applyFill="1" applyBorder="1" applyAlignment="1">
      <alignment horizontal="center" vertical="center" wrapText="1"/>
      <protection/>
    </xf>
    <xf numFmtId="0" fontId="19" fillId="10" borderId="14" xfId="59" applyFont="1" applyFill="1" applyBorder="1" applyAlignment="1">
      <alignment horizontal="center" vertical="center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Millares 5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4 2" xfId="59"/>
    <cellStyle name="Normal 4 3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819150</xdr:colOff>
      <xdr:row>0</xdr:row>
      <xdr:rowOff>47625</xdr:rowOff>
    </xdr:from>
    <xdr:to>
      <xdr:col>9</xdr:col>
      <xdr:colOff>600075</xdr:colOff>
      <xdr:row>4</xdr:row>
      <xdr:rowOff>38100</xdr:rowOff>
    </xdr:to>
    <xdr:pic>
      <xdr:nvPicPr>
        <xdr:cNvPr id="1" name="il_fi" descr="http://www.cosasdelcibao.net/wp-content/uploads/2009/11/dncd-logo-new-261x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47625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199"/>
  <sheetViews>
    <sheetView tabSelected="1" zoomScale="85" zoomScaleNormal="85" zoomScaleSheetLayoutView="47" workbookViewId="0" topLeftCell="A174">
      <selection activeCell="F197" sqref="F197"/>
    </sheetView>
  </sheetViews>
  <sheetFormatPr defaultColWidth="11.421875" defaultRowHeight="15"/>
  <cols>
    <col min="1" max="1" width="9.57421875" style="4" customWidth="1"/>
    <col min="2" max="2" width="40.00390625" style="4" customWidth="1"/>
    <col min="3" max="3" width="16.8515625" style="79" bestFit="1" customWidth="1"/>
    <col min="4" max="4" width="15.140625" style="60" bestFit="1" customWidth="1"/>
    <col min="5" max="14" width="15.140625" style="17" bestFit="1" customWidth="1"/>
    <col min="15" max="16" width="15.140625" style="17" customWidth="1"/>
    <col min="17" max="17" width="16.140625" style="17" bestFit="1" customWidth="1"/>
    <col min="18" max="18" width="12.28125" style="17" bestFit="1" customWidth="1"/>
    <col min="19" max="19" width="15.00390625" style="4" hidden="1" customWidth="1"/>
    <col min="20" max="20" width="13.8515625" style="4" hidden="1" customWidth="1"/>
    <col min="21" max="21" width="16.8515625" style="137" bestFit="1" customWidth="1"/>
    <col min="22" max="22" width="11.8515625" style="17" bestFit="1" customWidth="1"/>
    <col min="23" max="23" width="13.8515625" style="4" bestFit="1" customWidth="1"/>
    <col min="24" max="27" width="11.421875" style="4" customWidth="1"/>
    <col min="28" max="28" width="11.421875" style="17" customWidth="1"/>
    <col min="29" max="16384" width="11.421875" style="4" customWidth="1"/>
  </cols>
  <sheetData>
    <row r="1" ht="15"/>
    <row r="2" ht="15"/>
    <row r="3" spans="1:22" ht="15">
      <c r="A3" s="2"/>
      <c r="B3" s="146"/>
      <c r="C3" s="59"/>
      <c r="D3" s="11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133"/>
      <c r="V3" s="2"/>
    </row>
    <row r="4" spans="1:22" ht="19.5" customHeight="1">
      <c r="A4" s="2"/>
      <c r="B4" s="146"/>
      <c r="C4" s="59"/>
      <c r="D4" s="11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133"/>
      <c r="V4" s="2"/>
    </row>
    <row r="5" spans="1:22" ht="18.75">
      <c r="A5" s="147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2" ht="21">
      <c r="A6" s="148" t="s">
        <v>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</row>
    <row r="7" spans="1:22" ht="16.5" customHeight="1">
      <c r="A7" s="147" t="s">
        <v>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</row>
    <row r="8" spans="1:22" ht="21">
      <c r="A8" s="148" t="s">
        <v>3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</row>
    <row r="9" spans="1:22" ht="18.75">
      <c r="A9" s="147" t="s">
        <v>310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</row>
    <row r="10" spans="1:22" ht="6" customHeight="1">
      <c r="A10" s="2"/>
      <c r="B10" s="2"/>
      <c r="C10" s="59"/>
      <c r="D10" s="11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133"/>
      <c r="V10" s="2"/>
    </row>
    <row r="11" spans="1:22" ht="6" customHeight="1">
      <c r="A11" s="2"/>
      <c r="B11" s="2"/>
      <c r="C11" s="59"/>
      <c r="D11" s="11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3"/>
      <c r="U11" s="133"/>
      <c r="V11" s="2"/>
    </row>
    <row r="12" spans="1:22" ht="6" customHeight="1" thickBot="1">
      <c r="A12" s="2"/>
      <c r="B12" s="2"/>
      <c r="C12" s="59"/>
      <c r="D12" s="11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133"/>
      <c r="V12" s="2"/>
    </row>
    <row r="13" spans="1:22" ht="19.5" customHeight="1" thickBot="1">
      <c r="A13" s="149" t="s">
        <v>4</v>
      </c>
      <c r="B13" s="144" t="s">
        <v>5</v>
      </c>
      <c r="C13" s="61" t="s">
        <v>218</v>
      </c>
      <c r="D13" s="117" t="s">
        <v>140</v>
      </c>
      <c r="E13" s="140" t="s">
        <v>283</v>
      </c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2"/>
      <c r="Q13" s="62" t="s">
        <v>6</v>
      </c>
      <c r="R13" s="62" t="s">
        <v>7</v>
      </c>
      <c r="S13" s="63" t="s">
        <v>6</v>
      </c>
      <c r="T13" s="63" t="s">
        <v>8</v>
      </c>
      <c r="U13" s="104" t="s">
        <v>116</v>
      </c>
      <c r="V13" s="62" t="s">
        <v>177</v>
      </c>
    </row>
    <row r="14" spans="1:22" ht="16.5" thickBot="1">
      <c r="A14" s="150"/>
      <c r="B14" s="145"/>
      <c r="C14" s="93" t="s">
        <v>311</v>
      </c>
      <c r="D14" s="118" t="s">
        <v>141</v>
      </c>
      <c r="E14" s="64" t="s">
        <v>9</v>
      </c>
      <c r="F14" s="64" t="s">
        <v>10</v>
      </c>
      <c r="G14" s="64" t="s">
        <v>11</v>
      </c>
      <c r="H14" s="64" t="s">
        <v>128</v>
      </c>
      <c r="I14" s="64" t="s">
        <v>12</v>
      </c>
      <c r="J14" s="64" t="s">
        <v>13</v>
      </c>
      <c r="K14" s="64" t="s">
        <v>14</v>
      </c>
      <c r="L14" s="64" t="s">
        <v>162</v>
      </c>
      <c r="M14" s="64" t="s">
        <v>157</v>
      </c>
      <c r="N14" s="64" t="s">
        <v>158</v>
      </c>
      <c r="O14" s="64" t="s">
        <v>303</v>
      </c>
      <c r="P14" s="64" t="s">
        <v>304</v>
      </c>
      <c r="Q14" s="64" t="s">
        <v>15</v>
      </c>
      <c r="R14" s="64" t="s">
        <v>15</v>
      </c>
      <c r="S14" s="63" t="s">
        <v>16</v>
      </c>
      <c r="T14" s="63" t="s">
        <v>16</v>
      </c>
      <c r="U14" s="105" t="s">
        <v>115</v>
      </c>
      <c r="V14" s="64" t="s">
        <v>115</v>
      </c>
    </row>
    <row r="15" spans="1:22" ht="15">
      <c r="A15" s="26" t="s">
        <v>17</v>
      </c>
      <c r="B15" s="5" t="s">
        <v>259</v>
      </c>
      <c r="C15" s="65">
        <f>+C16+C17+C18+C19</f>
        <v>1244649867.4</v>
      </c>
      <c r="D15" s="65">
        <f>+D16+D17+D18+D19</f>
        <v>27988299.27</v>
      </c>
      <c r="E15" s="65">
        <f>+E16+E17+E18+E19</f>
        <v>95817403.05</v>
      </c>
      <c r="F15" s="65">
        <f>+F16+F17+F18+F19</f>
        <v>96599465.06</v>
      </c>
      <c r="G15" s="65">
        <f aca="true" t="shared" si="0" ref="G15:P15">+G16+G17+G18+G19</f>
        <v>96806738.63</v>
      </c>
      <c r="H15" s="65">
        <f>+H16+H17+H18+H19</f>
        <v>95980862.54</v>
      </c>
      <c r="I15" s="65">
        <f t="shared" si="0"/>
        <v>96570679.72</v>
      </c>
      <c r="J15" s="65">
        <f>+J16+J17+J18+J19</f>
        <v>97979730.71</v>
      </c>
      <c r="K15" s="65">
        <f t="shared" si="0"/>
        <v>96566577.79</v>
      </c>
      <c r="L15" s="65">
        <f t="shared" si="0"/>
        <v>99365258.94</v>
      </c>
      <c r="M15" s="65">
        <f t="shared" si="0"/>
        <v>98362724.53</v>
      </c>
      <c r="N15" s="65">
        <f t="shared" si="0"/>
        <v>97817765.88</v>
      </c>
      <c r="O15" s="65">
        <f t="shared" si="0"/>
        <v>113854992.29</v>
      </c>
      <c r="P15" s="65">
        <f t="shared" si="0"/>
        <v>186915967.53</v>
      </c>
      <c r="Q15" s="67">
        <f>SUM(E15:P15)</f>
        <v>1272638166.67</v>
      </c>
      <c r="R15" s="68">
        <f aca="true" t="shared" si="1" ref="R15:R32">+Q15/(C15+D15)</f>
        <v>1</v>
      </c>
      <c r="S15" s="69" t="e">
        <f>SUM(S16:S32)</f>
        <v>#REF!</v>
      </c>
      <c r="T15" s="68" t="e">
        <f aca="true" t="shared" si="2" ref="T15:T33">+S15/C15</f>
        <v>#REF!</v>
      </c>
      <c r="U15" s="89">
        <f>+U16+U17+U18+U19</f>
        <v>0</v>
      </c>
      <c r="V15" s="68">
        <f aca="true" t="shared" si="3" ref="V15:V20">+U15/C15</f>
        <v>0</v>
      </c>
    </row>
    <row r="16" spans="1:28" ht="15">
      <c r="A16" s="82" t="s">
        <v>76</v>
      </c>
      <c r="B16" s="22" t="s">
        <v>273</v>
      </c>
      <c r="C16" s="120">
        <f>1074688972-95649240-8615000-100000-4299927.45-22508699.27</f>
        <v>943516105.28</v>
      </c>
      <c r="D16" s="38">
        <f>2679600+22508699.27</f>
        <v>25188299.27</v>
      </c>
      <c r="E16" s="39">
        <v>79517403.05</v>
      </c>
      <c r="F16" s="38">
        <v>80051465.06</v>
      </c>
      <c r="G16" s="38">
        <v>79714573.63</v>
      </c>
      <c r="H16" s="38">
        <v>79732437.54</v>
      </c>
      <c r="I16" s="38">
        <v>79378014.72</v>
      </c>
      <c r="J16" s="38">
        <v>79369900.61</v>
      </c>
      <c r="K16" s="38">
        <v>80527711.54</v>
      </c>
      <c r="L16" s="38">
        <v>82865325.84</v>
      </c>
      <c r="M16" s="38">
        <v>81944315.03</v>
      </c>
      <c r="N16" s="38">
        <v>81799356.38</v>
      </c>
      <c r="O16" s="38">
        <f>27790+81957455.4</f>
        <v>81985245.4</v>
      </c>
      <c r="P16" s="38">
        <v>81818655.75</v>
      </c>
      <c r="Q16" s="87">
        <f>SUM(E16:P16)</f>
        <v>968704404.55</v>
      </c>
      <c r="R16" s="88">
        <f t="shared" si="1"/>
        <v>1</v>
      </c>
      <c r="S16" s="87">
        <f aca="true" t="shared" si="4" ref="S16:S32">+C16-Q16</f>
        <v>-25188299.26999998</v>
      </c>
      <c r="T16" s="88">
        <f t="shared" si="2"/>
        <v>-0.02669620489681524</v>
      </c>
      <c r="U16" s="87">
        <f>+C16+D16-Q16</f>
        <v>0</v>
      </c>
      <c r="V16" s="88">
        <f t="shared" si="3"/>
        <v>0</v>
      </c>
      <c r="W16" s="3"/>
      <c r="X16" s="3"/>
      <c r="Y16" s="3"/>
      <c r="Z16" s="3"/>
      <c r="AA16" s="3"/>
      <c r="AB16" s="2"/>
    </row>
    <row r="17" spans="1:28" ht="15">
      <c r="A17" s="95" t="s">
        <v>159</v>
      </c>
      <c r="B17" s="22" t="s">
        <v>274</v>
      </c>
      <c r="C17" s="38">
        <f>189600000+4299927.45+1080072.55</f>
        <v>194980000</v>
      </c>
      <c r="D17" s="39">
        <v>2800000</v>
      </c>
      <c r="E17" s="39">
        <v>16300000</v>
      </c>
      <c r="F17" s="38">
        <v>16350000</v>
      </c>
      <c r="G17" s="38">
        <v>16850000</v>
      </c>
      <c r="H17" s="38">
        <v>16000000</v>
      </c>
      <c r="I17" s="38">
        <v>17000000</v>
      </c>
      <c r="J17" s="38">
        <v>18400000</v>
      </c>
      <c r="K17" s="38">
        <v>16000000</v>
      </c>
      <c r="L17" s="38">
        <v>16480000</v>
      </c>
      <c r="M17" s="38">
        <v>16400000</v>
      </c>
      <c r="N17" s="38">
        <v>16000000</v>
      </c>
      <c r="O17" s="38">
        <v>16000000</v>
      </c>
      <c r="P17" s="38">
        <v>16000000</v>
      </c>
      <c r="Q17" s="87">
        <f aca="true" t="shared" si="5" ref="Q17:Q23">SUM(E17:P17)</f>
        <v>197780000</v>
      </c>
      <c r="R17" s="88">
        <f t="shared" si="1"/>
        <v>1</v>
      </c>
      <c r="S17" s="87">
        <f t="shared" si="4"/>
        <v>-2800000</v>
      </c>
      <c r="T17" s="88">
        <f t="shared" si="2"/>
        <v>-0.014360447225356447</v>
      </c>
      <c r="U17" s="87">
        <f>+C17+D17-Q17</f>
        <v>0</v>
      </c>
      <c r="V17" s="88">
        <f t="shared" si="3"/>
        <v>0</v>
      </c>
      <c r="W17" s="3"/>
      <c r="X17" s="3"/>
      <c r="Y17" s="3"/>
      <c r="Z17" s="3"/>
      <c r="AA17" s="3"/>
      <c r="AB17" s="2"/>
    </row>
    <row r="18" spans="1:28" ht="15">
      <c r="A18" s="111" t="s">
        <v>289</v>
      </c>
      <c r="B18" s="22" t="s">
        <v>290</v>
      </c>
      <c r="C18" s="79">
        <f>1200000+191372.95</f>
        <v>1391372.95</v>
      </c>
      <c r="D18" s="39"/>
      <c r="E18" s="39">
        <v>0</v>
      </c>
      <c r="F18" s="38">
        <v>198000</v>
      </c>
      <c r="G18" s="38">
        <v>242165</v>
      </c>
      <c r="H18" s="38">
        <v>248425</v>
      </c>
      <c r="I18" s="38">
        <v>192665</v>
      </c>
      <c r="J18" s="38">
        <v>209830.1</v>
      </c>
      <c r="K18" s="38">
        <v>21616.25</v>
      </c>
      <c r="L18" s="38">
        <v>19933.1</v>
      </c>
      <c r="M18" s="38">
        <v>18409.5</v>
      </c>
      <c r="N18" s="38">
        <v>18409.5</v>
      </c>
      <c r="O18" s="38">
        <v>20059.5</v>
      </c>
      <c r="P18" s="38">
        <v>201860</v>
      </c>
      <c r="Q18" s="87">
        <f>SUM(E18:P18)</f>
        <v>1391372.9500000002</v>
      </c>
      <c r="R18" s="88">
        <f>+Q18/(C18+D18)</f>
        <v>1.0000000000000002</v>
      </c>
      <c r="S18" s="87" t="e">
        <f>+#REF!-Q18</f>
        <v>#REF!</v>
      </c>
      <c r="T18" s="88" t="e">
        <f>+S18/#REF!</f>
        <v>#REF!</v>
      </c>
      <c r="U18" s="87">
        <f>+C18+D18-Q18</f>
        <v>0</v>
      </c>
      <c r="V18" s="88">
        <f t="shared" si="3"/>
        <v>0</v>
      </c>
      <c r="W18" s="3"/>
      <c r="X18" s="3"/>
      <c r="Y18" s="3"/>
      <c r="Z18" s="3"/>
      <c r="AA18" s="3"/>
      <c r="AB18" s="2"/>
    </row>
    <row r="19" spans="1:28" s="138" customFormat="1" ht="15">
      <c r="A19" s="132" t="s">
        <v>77</v>
      </c>
      <c r="B19" s="22" t="s">
        <v>219</v>
      </c>
      <c r="C19" s="38">
        <f>105357414.33-595025.16</f>
        <v>104762389.17</v>
      </c>
      <c r="D19" s="38"/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17250</v>
      </c>
      <c r="L19" s="38">
        <v>0</v>
      </c>
      <c r="M19" s="38">
        <v>0</v>
      </c>
      <c r="N19" s="38">
        <v>0</v>
      </c>
      <c r="O19" s="38">
        <v>15849687.39</v>
      </c>
      <c r="P19" s="38">
        <v>88895451.78</v>
      </c>
      <c r="Q19" s="87">
        <f t="shared" si="5"/>
        <v>104762389.17</v>
      </c>
      <c r="R19" s="88">
        <f t="shared" si="1"/>
        <v>1</v>
      </c>
      <c r="S19" s="87" t="e">
        <f>+#REF!-Q19</f>
        <v>#REF!</v>
      </c>
      <c r="T19" s="88" t="e">
        <f>+S19/#REF!</f>
        <v>#REF!</v>
      </c>
      <c r="U19" s="87">
        <f>+C19+D19-Q19</f>
        <v>0</v>
      </c>
      <c r="V19" s="88">
        <f t="shared" si="3"/>
        <v>0</v>
      </c>
      <c r="W19" s="139"/>
      <c r="X19" s="139"/>
      <c r="Y19" s="139"/>
      <c r="Z19" s="139"/>
      <c r="AA19" s="139"/>
      <c r="AB19" s="133"/>
    </row>
    <row r="20" spans="1:28" ht="15">
      <c r="A20" s="26" t="s">
        <v>319</v>
      </c>
      <c r="B20" s="5" t="s">
        <v>322</v>
      </c>
      <c r="C20" s="65">
        <f>+C21+C22+C23+C24+C25</f>
        <v>142568020.36</v>
      </c>
      <c r="D20" s="65">
        <f>+D21+D22+D23+D24+D25</f>
        <v>11420000</v>
      </c>
      <c r="E20" s="65">
        <f>+E21+E22+E23+E24+E25</f>
        <v>12109105</v>
      </c>
      <c r="F20" s="65">
        <f>+F21+F22+F23+F24+F25</f>
        <v>12564334</v>
      </c>
      <c r="G20" s="65">
        <f aca="true" t="shared" si="6" ref="G20:P20">+G21+G22+G23+G24+G25</f>
        <v>12482280</v>
      </c>
      <c r="H20" s="65">
        <f>+H21+H22+H23+H24+H25</f>
        <v>12432355.48</v>
      </c>
      <c r="I20" s="65">
        <f t="shared" si="6"/>
        <v>12464037.66</v>
      </c>
      <c r="J20" s="65">
        <f>+J21+J22+J23+J24+J25</f>
        <v>12437704</v>
      </c>
      <c r="K20" s="65">
        <f t="shared" si="6"/>
        <v>12482409.370000001</v>
      </c>
      <c r="L20" s="65">
        <f t="shared" si="6"/>
        <v>13363959.370000001</v>
      </c>
      <c r="M20" s="65">
        <f t="shared" si="6"/>
        <v>13105726.370000001</v>
      </c>
      <c r="N20" s="65">
        <f t="shared" si="6"/>
        <v>12900494.370000001</v>
      </c>
      <c r="O20" s="65">
        <f t="shared" si="6"/>
        <v>13459731.370000001</v>
      </c>
      <c r="P20" s="65">
        <f t="shared" si="6"/>
        <v>14145883.370000001</v>
      </c>
      <c r="Q20" s="67">
        <f>SUM(E20:P20)</f>
        <v>153948020.36</v>
      </c>
      <c r="R20" s="68">
        <f>+Q20/(C20+D20)</f>
        <v>0.9997402395335268</v>
      </c>
      <c r="S20" s="69">
        <f>SUM(S21:S37)</f>
        <v>-25637670.399999995</v>
      </c>
      <c r="T20" s="68">
        <f>+S20/C20</f>
        <v>-0.1798276383109062</v>
      </c>
      <c r="U20" s="89">
        <f>+U21+U22+U23+U24+U25</f>
        <v>40000</v>
      </c>
      <c r="V20" s="68">
        <f t="shared" si="3"/>
        <v>0.0002805678292999761</v>
      </c>
      <c r="W20" s="3"/>
      <c r="X20" s="3"/>
      <c r="Y20" s="3"/>
      <c r="Z20" s="3"/>
      <c r="AA20" s="3"/>
      <c r="AB20" s="2"/>
    </row>
    <row r="21" spans="1:28" ht="15">
      <c r="A21" s="94" t="s">
        <v>78</v>
      </c>
      <c r="B21" s="106" t="s">
        <v>18</v>
      </c>
      <c r="C21" s="38">
        <f>6940250*12-3378349-30000000-2500000-671000-4930000-2917022.86</f>
        <v>38886628.14</v>
      </c>
      <c r="D21" s="38">
        <v>2700000</v>
      </c>
      <c r="E21" s="39">
        <v>3001835</v>
      </c>
      <c r="F21" s="38">
        <v>3249064</v>
      </c>
      <c r="G21" s="38">
        <v>3182305</v>
      </c>
      <c r="H21" s="38">
        <v>3223300.48</v>
      </c>
      <c r="I21" s="38">
        <v>3159406.66</v>
      </c>
      <c r="J21" s="38">
        <v>3140689</v>
      </c>
      <c r="K21" s="38">
        <v>3096695</v>
      </c>
      <c r="L21" s="38">
        <v>3859265</v>
      </c>
      <c r="M21" s="38">
        <v>3600452</v>
      </c>
      <c r="N21" s="38">
        <v>3467060</v>
      </c>
      <c r="O21" s="38">
        <v>3961432</v>
      </c>
      <c r="P21" s="38">
        <v>4645124</v>
      </c>
      <c r="Q21" s="87">
        <f t="shared" si="5"/>
        <v>41586628.14</v>
      </c>
      <c r="R21" s="88">
        <f t="shared" si="1"/>
        <v>1</v>
      </c>
      <c r="S21" s="87">
        <f t="shared" si="4"/>
        <v>-2700000</v>
      </c>
      <c r="T21" s="88">
        <f t="shared" si="2"/>
        <v>-0.0694326077920522</v>
      </c>
      <c r="U21" s="87">
        <f aca="true" t="shared" si="7" ref="U21:U32">+C21+D21-Q21</f>
        <v>0</v>
      </c>
      <c r="V21" s="88">
        <f aca="true" t="shared" si="8" ref="V21:V33">+U21/C21</f>
        <v>0</v>
      </c>
      <c r="W21" s="3"/>
      <c r="X21" s="3"/>
      <c r="Y21" s="3"/>
      <c r="Z21" s="3"/>
      <c r="AA21" s="3"/>
      <c r="AB21" s="2"/>
    </row>
    <row r="22" spans="1:28" ht="15">
      <c r="A22" s="94" t="s">
        <v>199</v>
      </c>
      <c r="B22" s="84" t="s">
        <v>200</v>
      </c>
      <c r="C22" s="38">
        <f>1000000+1600000+1000000+320000+510000+1530000</f>
        <v>5960000</v>
      </c>
      <c r="D22" s="39"/>
      <c r="E22" s="39">
        <v>350000</v>
      </c>
      <c r="F22" s="38">
        <v>510000</v>
      </c>
      <c r="G22" s="38">
        <v>510000</v>
      </c>
      <c r="H22" s="38">
        <v>510000</v>
      </c>
      <c r="I22" s="38">
        <v>510000</v>
      </c>
      <c r="J22" s="38">
        <v>510000</v>
      </c>
      <c r="K22" s="38">
        <v>510000</v>
      </c>
      <c r="L22" s="38">
        <v>510000</v>
      </c>
      <c r="M22" s="38">
        <v>510000</v>
      </c>
      <c r="N22" s="38">
        <v>510000</v>
      </c>
      <c r="O22" s="38">
        <v>510000</v>
      </c>
      <c r="P22" s="38">
        <v>510000</v>
      </c>
      <c r="Q22" s="87">
        <f t="shared" si="5"/>
        <v>5960000</v>
      </c>
      <c r="R22" s="88">
        <f t="shared" si="1"/>
        <v>1</v>
      </c>
      <c r="S22" s="87">
        <f t="shared" si="4"/>
        <v>0</v>
      </c>
      <c r="T22" s="88">
        <f t="shared" si="2"/>
        <v>0</v>
      </c>
      <c r="U22" s="87">
        <f t="shared" si="7"/>
        <v>0</v>
      </c>
      <c r="V22" s="88">
        <f t="shared" si="8"/>
        <v>0</v>
      </c>
      <c r="W22" s="3"/>
      <c r="X22" s="3"/>
      <c r="Y22" s="3"/>
      <c r="Z22" s="3"/>
      <c r="AA22" s="3"/>
      <c r="AB22" s="2"/>
    </row>
    <row r="23" spans="1:28" ht="15">
      <c r="A23" s="94" t="s">
        <v>118</v>
      </c>
      <c r="B23" s="84" t="s">
        <v>275</v>
      </c>
      <c r="C23" s="38">
        <f>66500*12</f>
        <v>798000</v>
      </c>
      <c r="D23" s="39"/>
      <c r="E23" s="39">
        <v>66500</v>
      </c>
      <c r="F23" s="38">
        <v>66500</v>
      </c>
      <c r="G23" s="38">
        <v>66500</v>
      </c>
      <c r="H23" s="38">
        <v>66500</v>
      </c>
      <c r="I23" s="38">
        <v>66500</v>
      </c>
      <c r="J23" s="38">
        <v>66500</v>
      </c>
      <c r="K23" s="38">
        <v>66500</v>
      </c>
      <c r="L23" s="38">
        <v>66500</v>
      </c>
      <c r="M23" s="38">
        <v>66500</v>
      </c>
      <c r="N23" s="38">
        <v>66500</v>
      </c>
      <c r="O23" s="38">
        <v>66500</v>
      </c>
      <c r="P23" s="38">
        <v>66500</v>
      </c>
      <c r="Q23" s="87">
        <f t="shared" si="5"/>
        <v>798000</v>
      </c>
      <c r="R23" s="90">
        <f t="shared" si="1"/>
        <v>1</v>
      </c>
      <c r="S23" s="87">
        <f t="shared" si="4"/>
        <v>0</v>
      </c>
      <c r="T23" s="88">
        <f t="shared" si="2"/>
        <v>0</v>
      </c>
      <c r="U23" s="87">
        <f t="shared" si="7"/>
        <v>0</v>
      </c>
      <c r="V23" s="88">
        <f t="shared" si="8"/>
        <v>0</v>
      </c>
      <c r="W23" s="3"/>
      <c r="X23" s="3"/>
      <c r="Y23" s="3"/>
      <c r="Z23" s="3"/>
      <c r="AA23" s="3"/>
      <c r="AB23" s="2"/>
    </row>
    <row r="24" spans="1:28" ht="30">
      <c r="A24" s="94" t="s">
        <v>160</v>
      </c>
      <c r="B24" s="57" t="s">
        <v>188</v>
      </c>
      <c r="C24" s="38">
        <f>7970770*12+1274152.22</f>
        <v>96923392.22</v>
      </c>
      <c r="D24" s="39"/>
      <c r="E24" s="39">
        <v>7970770</v>
      </c>
      <c r="F24" s="38">
        <v>8018770</v>
      </c>
      <c r="G24" s="38">
        <v>8003475</v>
      </c>
      <c r="H24" s="38">
        <v>7992555</v>
      </c>
      <c r="I24" s="38">
        <v>8008131</v>
      </c>
      <c r="J24" s="38">
        <v>8000515</v>
      </c>
      <c r="K24" s="38">
        <v>8129214.37</v>
      </c>
      <c r="L24" s="38">
        <v>8168194.37</v>
      </c>
      <c r="M24" s="38">
        <v>8168774.37</v>
      </c>
      <c r="N24" s="38">
        <v>8136934.37</v>
      </c>
      <c r="O24" s="38">
        <v>8161799.37</v>
      </c>
      <c r="P24" s="38">
        <v>8164259.37</v>
      </c>
      <c r="Q24" s="87">
        <f aca="true" t="shared" si="9" ref="Q24:Q32">SUM(E24:P24)</f>
        <v>96923392.22000001</v>
      </c>
      <c r="R24" s="88">
        <f t="shared" si="1"/>
        <v>1.0000000000000002</v>
      </c>
      <c r="S24" s="87">
        <f t="shared" si="4"/>
        <v>0</v>
      </c>
      <c r="T24" s="88">
        <f t="shared" si="2"/>
        <v>0</v>
      </c>
      <c r="U24" s="87">
        <f t="shared" si="7"/>
        <v>0</v>
      </c>
      <c r="V24" s="88">
        <f t="shared" si="8"/>
        <v>0</v>
      </c>
      <c r="W24" s="3"/>
      <c r="X24" s="3"/>
      <c r="Y24" s="3"/>
      <c r="Z24" s="3"/>
      <c r="AA24" s="3"/>
      <c r="AB24" s="2"/>
    </row>
    <row r="25" spans="1:28" ht="30">
      <c r="A25" s="114" t="s">
        <v>307</v>
      </c>
      <c r="B25" s="57" t="s">
        <v>308</v>
      </c>
      <c r="C25" s="38">
        <v>0</v>
      </c>
      <c r="D25" s="39">
        <f>10640000-1960000+40000</f>
        <v>8720000</v>
      </c>
      <c r="E25" s="39">
        <v>720000</v>
      </c>
      <c r="F25" s="38">
        <v>720000</v>
      </c>
      <c r="G25" s="38">
        <v>720000</v>
      </c>
      <c r="H25" s="38">
        <v>640000</v>
      </c>
      <c r="I25" s="38">
        <v>720000</v>
      </c>
      <c r="J25" s="38">
        <v>720000</v>
      </c>
      <c r="K25" s="38">
        <v>680000</v>
      </c>
      <c r="L25" s="38">
        <v>760000</v>
      </c>
      <c r="M25" s="38">
        <v>760000</v>
      </c>
      <c r="N25" s="38">
        <v>720000</v>
      </c>
      <c r="O25" s="38">
        <v>760000</v>
      </c>
      <c r="P25" s="38">
        <v>760000</v>
      </c>
      <c r="Q25" s="87">
        <f t="shared" si="9"/>
        <v>8680000</v>
      </c>
      <c r="R25" s="88">
        <f>+Q25/(C25+D25)</f>
        <v>0.9954128440366973</v>
      </c>
      <c r="S25" s="87">
        <f>+C25-Q25</f>
        <v>-8680000</v>
      </c>
      <c r="T25" s="88" t="e">
        <f>+S25/C25</f>
        <v>#DIV/0!</v>
      </c>
      <c r="U25" s="87">
        <f>+C25+D25-Q25</f>
        <v>40000</v>
      </c>
      <c r="V25" s="90">
        <f>+U25/D25</f>
        <v>0.0045871559633027525</v>
      </c>
      <c r="W25" s="3"/>
      <c r="X25" s="3"/>
      <c r="Y25" s="3"/>
      <c r="Z25" s="3"/>
      <c r="AA25" s="3"/>
      <c r="AB25" s="2"/>
    </row>
    <row r="26" spans="1:28" ht="15">
      <c r="A26" s="26" t="s">
        <v>320</v>
      </c>
      <c r="B26" s="5" t="s">
        <v>323</v>
      </c>
      <c r="C26" s="65">
        <f>+C28+C29</f>
        <v>2118043.2800000003</v>
      </c>
      <c r="D26" s="65">
        <f>+D28+D29</f>
        <v>0</v>
      </c>
      <c r="E26" s="65">
        <f>+E28+E29</f>
        <v>152939.83000000002</v>
      </c>
      <c r="F26" s="65">
        <f>+F28+F29</f>
        <v>202671.56</v>
      </c>
      <c r="G26" s="65">
        <f aca="true" t="shared" si="10" ref="G26:P26">+G28+G29</f>
        <v>106384.78</v>
      </c>
      <c r="H26" s="65">
        <f>+H28+H29</f>
        <v>138447.86000000002</v>
      </c>
      <c r="I26" s="65">
        <f>+I27+I28+I29</f>
        <v>128598.77</v>
      </c>
      <c r="J26" s="65">
        <f>+J28+J29</f>
        <v>234839.43</v>
      </c>
      <c r="K26" s="65">
        <f>+K27+K28+K29</f>
        <v>236456.27</v>
      </c>
      <c r="L26" s="65">
        <f t="shared" si="10"/>
        <v>155892.1</v>
      </c>
      <c r="M26" s="65">
        <f t="shared" si="10"/>
        <v>134209.7</v>
      </c>
      <c r="N26" s="65">
        <f t="shared" si="10"/>
        <v>309743.44999999995</v>
      </c>
      <c r="O26" s="65">
        <f t="shared" si="10"/>
        <v>202759.08</v>
      </c>
      <c r="P26" s="65">
        <f t="shared" si="10"/>
        <v>139100.45</v>
      </c>
      <c r="Q26" s="67">
        <f>SUM(E26:P26)</f>
        <v>2142043.2800000003</v>
      </c>
      <c r="R26" s="68">
        <f>+Q26/(C26+D26)</f>
        <v>1.0113312132129801</v>
      </c>
      <c r="S26" s="69">
        <f>SUM(S28:S43)</f>
        <v>-7128835.199999999</v>
      </c>
      <c r="T26" s="68">
        <f>+S26/C26</f>
        <v>-3.3657646504749414</v>
      </c>
      <c r="U26" s="89">
        <f>+U27+U28+U29</f>
        <v>0</v>
      </c>
      <c r="V26" s="68">
        <f>+U26/C26</f>
        <v>0</v>
      </c>
      <c r="W26" s="3"/>
      <c r="X26" s="3"/>
      <c r="Y26" s="3"/>
      <c r="Z26" s="3"/>
      <c r="AA26" s="3"/>
      <c r="AB26" s="2"/>
    </row>
    <row r="27" spans="1:28" ht="15">
      <c r="A27" s="126" t="s">
        <v>329</v>
      </c>
      <c r="B27" s="58" t="s">
        <v>330</v>
      </c>
      <c r="C27" s="38">
        <f>30000-600000+594000</f>
        <v>24000</v>
      </c>
      <c r="D27" s="39"/>
      <c r="E27" s="39">
        <v>0</v>
      </c>
      <c r="F27" s="38">
        <v>0</v>
      </c>
      <c r="G27" s="38">
        <v>0</v>
      </c>
      <c r="H27" s="38">
        <v>0</v>
      </c>
      <c r="I27" s="38">
        <v>3000</v>
      </c>
      <c r="J27" s="38">
        <v>0</v>
      </c>
      <c r="K27" s="38">
        <v>21000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87">
        <f>SUM(E27:P27)</f>
        <v>24000</v>
      </c>
      <c r="R27" s="88">
        <f>+Q27/(C27+D27)</f>
        <v>1</v>
      </c>
      <c r="S27" s="87">
        <f>+C27-Q27</f>
        <v>0</v>
      </c>
      <c r="T27" s="88">
        <f>+S27/C27</f>
        <v>0</v>
      </c>
      <c r="U27" s="87">
        <f>+C27+D27-Q27</f>
        <v>0</v>
      </c>
      <c r="V27" s="88">
        <f>+U27/C27</f>
        <v>0</v>
      </c>
      <c r="W27" s="3"/>
      <c r="X27" s="3"/>
      <c r="Y27" s="3"/>
      <c r="Z27" s="3"/>
      <c r="AA27" s="3"/>
      <c r="AB27" s="2"/>
    </row>
    <row r="28" spans="1:28" ht="15">
      <c r="A28" s="94" t="s">
        <v>110</v>
      </c>
      <c r="B28" s="58" t="s">
        <v>168</v>
      </c>
      <c r="C28" s="38">
        <f>1100000+100000+54000+498413.74</f>
        <v>1752413.74</v>
      </c>
      <c r="D28" s="39"/>
      <c r="E28" s="39">
        <v>119861.25</v>
      </c>
      <c r="F28" s="38">
        <v>177991.92</v>
      </c>
      <c r="G28" s="38">
        <v>103400.74</v>
      </c>
      <c r="H28" s="38">
        <v>135494.6</v>
      </c>
      <c r="I28" s="38">
        <v>116007.5</v>
      </c>
      <c r="J28" s="38">
        <v>155321.02</v>
      </c>
      <c r="K28" s="38">
        <v>202213.4</v>
      </c>
      <c r="L28" s="38">
        <v>152532.1</v>
      </c>
      <c r="M28" s="38">
        <v>90336.56</v>
      </c>
      <c r="N28" s="38">
        <v>157395.12</v>
      </c>
      <c r="O28" s="38">
        <v>202759.08</v>
      </c>
      <c r="P28" s="38">
        <v>139100.45</v>
      </c>
      <c r="Q28" s="87">
        <f t="shared" si="9"/>
        <v>1752413.74</v>
      </c>
      <c r="R28" s="88">
        <f t="shared" si="1"/>
        <v>1</v>
      </c>
      <c r="S28" s="87">
        <f t="shared" si="4"/>
        <v>0</v>
      </c>
      <c r="T28" s="88">
        <f t="shared" si="2"/>
        <v>0</v>
      </c>
      <c r="U28" s="87">
        <f t="shared" si="7"/>
        <v>0</v>
      </c>
      <c r="V28" s="88">
        <f t="shared" si="8"/>
        <v>0</v>
      </c>
      <c r="W28" s="3"/>
      <c r="X28" s="3"/>
      <c r="Y28" s="3"/>
      <c r="Z28" s="3"/>
      <c r="AA28" s="3"/>
      <c r="AB28" s="2"/>
    </row>
    <row r="29" spans="1:28" ht="15">
      <c r="A29" s="94" t="s">
        <v>235</v>
      </c>
      <c r="B29" s="58" t="s">
        <v>236</v>
      </c>
      <c r="C29" s="38">
        <f>200000+14000+151929.54-300</f>
        <v>365629.54000000004</v>
      </c>
      <c r="D29" s="39"/>
      <c r="E29" s="39">
        <v>33078.58</v>
      </c>
      <c r="F29" s="38">
        <v>24679.64</v>
      </c>
      <c r="G29" s="38">
        <v>2984.04</v>
      </c>
      <c r="H29" s="38">
        <v>2953.26</v>
      </c>
      <c r="I29" s="38">
        <v>9591.27</v>
      </c>
      <c r="J29" s="38">
        <v>79518.41</v>
      </c>
      <c r="K29" s="38">
        <v>13242.87</v>
      </c>
      <c r="L29" s="38">
        <v>3360</v>
      </c>
      <c r="M29" s="38">
        <v>43873.14</v>
      </c>
      <c r="N29" s="38">
        <v>152348.33</v>
      </c>
      <c r="O29" s="38">
        <v>0</v>
      </c>
      <c r="P29" s="38">
        <v>0</v>
      </c>
      <c r="Q29" s="87">
        <f t="shared" si="9"/>
        <v>365629.54000000004</v>
      </c>
      <c r="R29" s="88">
        <f t="shared" si="1"/>
        <v>1</v>
      </c>
      <c r="S29" s="87">
        <f t="shared" si="4"/>
        <v>0</v>
      </c>
      <c r="T29" s="88">
        <f t="shared" si="2"/>
        <v>0</v>
      </c>
      <c r="U29" s="87">
        <f t="shared" si="7"/>
        <v>0</v>
      </c>
      <c r="V29" s="88">
        <f t="shared" si="8"/>
        <v>0</v>
      </c>
      <c r="W29" s="3"/>
      <c r="X29" s="3"/>
      <c r="Y29" s="3"/>
      <c r="Z29" s="3"/>
      <c r="AA29" s="3"/>
      <c r="AB29" s="2"/>
    </row>
    <row r="30" spans="1:28" ht="15">
      <c r="A30" s="26" t="s">
        <v>321</v>
      </c>
      <c r="B30" s="5" t="s">
        <v>324</v>
      </c>
      <c r="C30" s="65">
        <f>+C31+C32</f>
        <v>25779593.67</v>
      </c>
      <c r="D30" s="65">
        <f>+D31+D32</f>
        <v>666417.6</v>
      </c>
      <c r="E30" s="65">
        <f>+E31+E32</f>
        <v>2119305.59</v>
      </c>
      <c r="F30" s="65">
        <f>+F31+F32</f>
        <v>2209382.52</v>
      </c>
      <c r="G30" s="65">
        <f aca="true" t="shared" si="11" ref="G30:P30">+G31+G32</f>
        <v>2206989.02</v>
      </c>
      <c r="H30" s="65">
        <f>+H31+H32</f>
        <v>2196168.5</v>
      </c>
      <c r="I30" s="65">
        <f t="shared" si="11"/>
        <v>2158163.64</v>
      </c>
      <c r="J30" s="65">
        <f>+J31+J32</f>
        <v>2179543.33</v>
      </c>
      <c r="K30" s="65">
        <f t="shared" si="11"/>
        <v>2157798.57</v>
      </c>
      <c r="L30" s="65">
        <f t="shared" si="11"/>
        <v>2158084.25</v>
      </c>
      <c r="M30" s="65">
        <f t="shared" si="11"/>
        <v>2263049.55</v>
      </c>
      <c r="N30" s="65">
        <f t="shared" si="11"/>
        <v>2262594.48</v>
      </c>
      <c r="O30" s="65">
        <f t="shared" si="11"/>
        <v>2268997.9000000004</v>
      </c>
      <c r="P30" s="65">
        <f t="shared" si="11"/>
        <v>2265933.92</v>
      </c>
      <c r="Q30" s="67">
        <f>SUM(E30:P30)</f>
        <v>26446011.270000003</v>
      </c>
      <c r="R30" s="68">
        <f t="shared" si="1"/>
        <v>1</v>
      </c>
      <c r="S30" s="69">
        <f>SUM(S31:S47)</f>
        <v>-6462417.6</v>
      </c>
      <c r="T30" s="68">
        <f t="shared" si="2"/>
        <v>-0.2506795755869646</v>
      </c>
      <c r="U30" s="89">
        <f>+U31+U32</f>
        <v>0</v>
      </c>
      <c r="V30" s="68">
        <f t="shared" si="8"/>
        <v>0</v>
      </c>
      <c r="W30" s="3"/>
      <c r="X30" s="3"/>
      <c r="Y30" s="3"/>
      <c r="Z30" s="3"/>
      <c r="AA30" s="3"/>
      <c r="AB30" s="2"/>
    </row>
    <row r="31" spans="1:28" ht="15">
      <c r="A31" s="95" t="s">
        <v>79</v>
      </c>
      <c r="B31" s="22" t="s">
        <v>19</v>
      </c>
      <c r="C31" s="38">
        <f>22718687.16-671751.5</f>
        <v>22046935.66</v>
      </c>
      <c r="D31" s="38">
        <v>569952</v>
      </c>
      <c r="E31" s="39">
        <v>1812530.04</v>
      </c>
      <c r="F31" s="38">
        <v>1889166.07</v>
      </c>
      <c r="G31" s="38">
        <v>1887521.09</v>
      </c>
      <c r="H31" s="38">
        <v>1878616.5</v>
      </c>
      <c r="I31" s="38">
        <v>1845774.57</v>
      </c>
      <c r="J31" s="38">
        <v>1865471.23</v>
      </c>
      <c r="K31" s="38">
        <v>1845222.77</v>
      </c>
      <c r="L31" s="38">
        <v>1845975.73</v>
      </c>
      <c r="M31" s="38">
        <v>1935248.88</v>
      </c>
      <c r="N31" s="38">
        <v>1934618</v>
      </c>
      <c r="O31" s="38">
        <v>1939681.62</v>
      </c>
      <c r="P31" s="38">
        <v>1937061.16</v>
      </c>
      <c r="Q31" s="87">
        <f>SUM(E31:P31)</f>
        <v>22616887.66</v>
      </c>
      <c r="R31" s="88">
        <f t="shared" si="1"/>
        <v>1</v>
      </c>
      <c r="S31" s="87">
        <f t="shared" si="4"/>
        <v>-569952</v>
      </c>
      <c r="T31" s="88">
        <f t="shared" si="2"/>
        <v>-0.025851755944209073</v>
      </c>
      <c r="U31" s="87">
        <f t="shared" si="7"/>
        <v>0</v>
      </c>
      <c r="V31" s="88">
        <f t="shared" si="8"/>
        <v>0</v>
      </c>
      <c r="W31" s="3"/>
      <c r="X31" s="3"/>
      <c r="Y31" s="3"/>
      <c r="Z31" s="3"/>
      <c r="AA31" s="3"/>
      <c r="AB31" s="2"/>
    </row>
    <row r="32" spans="1:28" ht="15">
      <c r="A32" s="94" t="s">
        <v>144</v>
      </c>
      <c r="B32" s="57" t="s">
        <v>276</v>
      </c>
      <c r="C32" s="38">
        <f>3835570.2-102912.19</f>
        <v>3732658.0100000002</v>
      </c>
      <c r="D32" s="38">
        <v>96465.6</v>
      </c>
      <c r="E32" s="39">
        <v>306775.55</v>
      </c>
      <c r="F32" s="38">
        <v>320216.45</v>
      </c>
      <c r="G32" s="38">
        <v>319467.93</v>
      </c>
      <c r="H32" s="38">
        <v>317552</v>
      </c>
      <c r="I32" s="38">
        <v>312389.07</v>
      </c>
      <c r="J32" s="38">
        <v>314072.1</v>
      </c>
      <c r="K32" s="38">
        <v>312575.8</v>
      </c>
      <c r="L32" s="38">
        <v>312108.52</v>
      </c>
      <c r="M32" s="38">
        <v>327800.67</v>
      </c>
      <c r="N32" s="38">
        <v>327976.48</v>
      </c>
      <c r="O32" s="38">
        <v>329316.28</v>
      </c>
      <c r="P32" s="38">
        <v>328872.76</v>
      </c>
      <c r="Q32" s="87">
        <f t="shared" si="9"/>
        <v>3829123.6099999994</v>
      </c>
      <c r="R32" s="88">
        <f t="shared" si="1"/>
        <v>0.9999999999999998</v>
      </c>
      <c r="S32" s="87">
        <f t="shared" si="4"/>
        <v>-96465.59999999916</v>
      </c>
      <c r="T32" s="88">
        <f t="shared" si="2"/>
        <v>-0.0258436748669614</v>
      </c>
      <c r="U32" s="87">
        <f t="shared" si="7"/>
        <v>0</v>
      </c>
      <c r="V32" s="88">
        <f t="shared" si="8"/>
        <v>0</v>
      </c>
      <c r="W32" s="3"/>
      <c r="X32" s="3"/>
      <c r="Y32" s="3"/>
      <c r="Z32" s="3"/>
      <c r="AA32" s="3"/>
      <c r="AB32" s="2"/>
    </row>
    <row r="33" spans="1:29" s="7" customFormat="1" ht="15">
      <c r="A33" s="20" t="s">
        <v>20</v>
      </c>
      <c r="B33" s="8" t="s">
        <v>260</v>
      </c>
      <c r="C33" s="66">
        <f>+C35+C36+C37+C38+C39+C40</f>
        <v>65083074.629999995</v>
      </c>
      <c r="D33" s="66">
        <f>+D36+D37+D38+D39+D40</f>
        <v>0</v>
      </c>
      <c r="E33" s="66">
        <f>+E36+E37+E38+E39+E40</f>
        <v>4893367.68</v>
      </c>
      <c r="F33" s="66">
        <f>+F35+F36+F37+F38+F39+F40</f>
        <v>4553892.93</v>
      </c>
      <c r="G33" s="66">
        <f aca="true" t="shared" si="12" ref="G33:P33">+G35+G36+G37+G38+G39+G40</f>
        <v>4747549.72</v>
      </c>
      <c r="H33" s="66">
        <f>+H35+H36+H37+H38+H39+H40</f>
        <v>4684017.65</v>
      </c>
      <c r="I33" s="66">
        <f t="shared" si="12"/>
        <v>5079639.26</v>
      </c>
      <c r="J33" s="66">
        <f>+J35+J36+J37+J38+J39+J40</f>
        <v>2614948</v>
      </c>
      <c r="K33" s="66">
        <f t="shared" si="12"/>
        <v>8017344.37</v>
      </c>
      <c r="L33" s="66">
        <f t="shared" si="12"/>
        <v>2748350.6799999997</v>
      </c>
      <c r="M33" s="66">
        <f t="shared" si="12"/>
        <v>9592027.850000001</v>
      </c>
      <c r="N33" s="66">
        <f t="shared" si="12"/>
        <v>6295565.710000001</v>
      </c>
      <c r="O33" s="66">
        <f t="shared" si="12"/>
        <v>5930908.34</v>
      </c>
      <c r="P33" s="66">
        <f t="shared" si="12"/>
        <v>5925462.44</v>
      </c>
      <c r="Q33" s="70">
        <f>SUM(E33:P33)</f>
        <v>65083074.629999995</v>
      </c>
      <c r="R33" s="71">
        <f>+Q33/C33</f>
        <v>1</v>
      </c>
      <c r="S33" s="70">
        <f>SUM(S37:S40)</f>
        <v>0</v>
      </c>
      <c r="T33" s="71">
        <f t="shared" si="2"/>
        <v>0</v>
      </c>
      <c r="U33" s="89">
        <f>+U35+U36+U37+U38+U39+U40</f>
        <v>0</v>
      </c>
      <c r="V33" s="68">
        <f t="shared" si="8"/>
        <v>0</v>
      </c>
      <c r="W33" s="3"/>
      <c r="X33" s="3"/>
      <c r="Y33" s="3"/>
      <c r="Z33" s="3"/>
      <c r="AA33" s="3"/>
      <c r="AB33" s="2"/>
      <c r="AC33" s="2"/>
    </row>
    <row r="34" spans="1:29" s="7" customFormat="1" ht="17.25" customHeight="1" hidden="1">
      <c r="A34" s="43" t="s">
        <v>21</v>
      </c>
      <c r="B34" s="6" t="s">
        <v>22</v>
      </c>
      <c r="C34" s="4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50"/>
      <c r="R34" s="50"/>
      <c r="S34" s="51"/>
      <c r="T34" s="51"/>
      <c r="U34" s="87"/>
      <c r="V34" s="50"/>
      <c r="W34" s="3"/>
      <c r="X34" s="3"/>
      <c r="Y34" s="3"/>
      <c r="Z34" s="3"/>
      <c r="AA34" s="3"/>
      <c r="AB34" s="2"/>
      <c r="AC34" s="2"/>
    </row>
    <row r="35" spans="1:29" s="7" customFormat="1" ht="15">
      <c r="A35" s="122" t="s">
        <v>313</v>
      </c>
      <c r="B35" s="22" t="s">
        <v>314</v>
      </c>
      <c r="C35" s="38">
        <f>200000+200000-90353.12</f>
        <v>309646.88</v>
      </c>
      <c r="D35" s="39"/>
      <c r="E35" s="39">
        <v>0</v>
      </c>
      <c r="F35" s="38">
        <v>10677.36</v>
      </c>
      <c r="G35" s="38">
        <v>0</v>
      </c>
      <c r="H35" s="38">
        <v>0</v>
      </c>
      <c r="I35" s="38">
        <v>0</v>
      </c>
      <c r="J35" s="38">
        <v>298969.52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87">
        <f>SUM(E35:P35)</f>
        <v>309646.88</v>
      </c>
      <c r="R35" s="88">
        <f>+Q35/C35</f>
        <v>1</v>
      </c>
      <c r="S35" s="87">
        <f>+C35-Q35</f>
        <v>0</v>
      </c>
      <c r="T35" s="88">
        <f>+S35/C35</f>
        <v>0</v>
      </c>
      <c r="U35" s="87">
        <f>+C35+D35-Q35</f>
        <v>0</v>
      </c>
      <c r="V35" s="88">
        <f>+U35/C35</f>
        <v>0</v>
      </c>
      <c r="W35" s="3"/>
      <c r="X35" s="3"/>
      <c r="Y35" s="3"/>
      <c r="Z35" s="3"/>
      <c r="AA35" s="3"/>
      <c r="AB35" s="2"/>
      <c r="AC35" s="2"/>
    </row>
    <row r="36" spans="1:29" s="7" customFormat="1" ht="15">
      <c r="A36" s="95" t="s">
        <v>80</v>
      </c>
      <c r="B36" s="22" t="s">
        <v>23</v>
      </c>
      <c r="C36" s="38">
        <f>1912500*12-2000000+848781.08</f>
        <v>21798781.08</v>
      </c>
      <c r="D36" s="39"/>
      <c r="E36" s="39">
        <v>1616942.69</v>
      </c>
      <c r="F36" s="38">
        <v>1560563.21</v>
      </c>
      <c r="G36" s="38">
        <v>1756576.28</v>
      </c>
      <c r="H36" s="38">
        <v>1682178.16</v>
      </c>
      <c r="I36" s="38">
        <v>1791987.57</v>
      </c>
      <c r="J36" s="38">
        <v>1686629.18</v>
      </c>
      <c r="K36" s="38">
        <v>1685421.59</v>
      </c>
      <c r="L36" s="38">
        <v>2026511.32</v>
      </c>
      <c r="M36" s="38">
        <v>2457129.89</v>
      </c>
      <c r="N36" s="38">
        <v>1838759.24</v>
      </c>
      <c r="O36" s="38">
        <v>1858113.29</v>
      </c>
      <c r="P36" s="38">
        <v>1837968.66</v>
      </c>
      <c r="Q36" s="87">
        <f aca="true" t="shared" si="13" ref="Q36:Q62">SUM(E36:P36)</f>
        <v>21798781.08</v>
      </c>
      <c r="R36" s="88">
        <f aca="true" t="shared" si="14" ref="R36:R41">+Q36/C36</f>
        <v>1</v>
      </c>
      <c r="S36" s="87">
        <f aca="true" t="shared" si="15" ref="S36:S69">+C36-Q36</f>
        <v>0</v>
      </c>
      <c r="T36" s="88">
        <f aca="true" t="shared" si="16" ref="T36:T69">+S36/C36</f>
        <v>0</v>
      </c>
      <c r="U36" s="87">
        <f aca="true" t="shared" si="17" ref="U36:U62">+C36+D36-Q36</f>
        <v>0</v>
      </c>
      <c r="V36" s="88">
        <f aca="true" t="shared" si="18" ref="V36:V52">+U36/C36</f>
        <v>0</v>
      </c>
      <c r="W36" s="3"/>
      <c r="X36" s="3"/>
      <c r="Y36" s="3"/>
      <c r="Z36" s="3"/>
      <c r="AA36" s="3"/>
      <c r="AB36" s="2"/>
      <c r="AC36" s="2"/>
    </row>
    <row r="37" spans="1:29" s="7" customFormat="1" ht="15">
      <c r="A37" s="95" t="s">
        <v>81</v>
      </c>
      <c r="B37" s="22" t="s">
        <v>24</v>
      </c>
      <c r="C37" s="38">
        <f>277000*12+2000000+170000+2098356.26</f>
        <v>7592356.26</v>
      </c>
      <c r="D37" s="39"/>
      <c r="E37" s="39">
        <v>611224.81</v>
      </c>
      <c r="F37" s="38">
        <v>595169.61</v>
      </c>
      <c r="G37" s="38">
        <v>646549.06</v>
      </c>
      <c r="H37" s="38">
        <v>607021.74</v>
      </c>
      <c r="I37" s="38">
        <v>614380.75</v>
      </c>
      <c r="J37" s="38">
        <v>604947.2</v>
      </c>
      <c r="K37" s="38">
        <v>512562.65</v>
      </c>
      <c r="L37" s="38">
        <v>704953.56</v>
      </c>
      <c r="M37" s="38">
        <v>594628.08</v>
      </c>
      <c r="N37" s="38">
        <v>786740.59</v>
      </c>
      <c r="O37" s="38">
        <v>557968.8</v>
      </c>
      <c r="P37" s="38">
        <v>756209.41</v>
      </c>
      <c r="Q37" s="87">
        <f t="shared" si="13"/>
        <v>7592356.26</v>
      </c>
      <c r="R37" s="88">
        <f t="shared" si="14"/>
        <v>1</v>
      </c>
      <c r="S37" s="87">
        <f t="shared" si="15"/>
        <v>0</v>
      </c>
      <c r="T37" s="88">
        <f t="shared" si="16"/>
        <v>0</v>
      </c>
      <c r="U37" s="87">
        <f t="shared" si="17"/>
        <v>0</v>
      </c>
      <c r="V37" s="88">
        <f t="shared" si="18"/>
        <v>0</v>
      </c>
      <c r="W37" s="3"/>
      <c r="X37" s="3"/>
      <c r="Y37" s="3"/>
      <c r="Z37" s="3"/>
      <c r="AA37" s="3"/>
      <c r="AB37" s="2"/>
      <c r="AC37" s="2"/>
    </row>
    <row r="38" spans="1:29" s="7" customFormat="1" ht="15">
      <c r="A38" s="95" t="s">
        <v>179</v>
      </c>
      <c r="B38" s="22" t="s">
        <v>178</v>
      </c>
      <c r="C38" s="119">
        <f>31865081+3092133.94</f>
        <v>34957214.94</v>
      </c>
      <c r="D38" s="39"/>
      <c r="E38" s="39">
        <v>2632561.18</v>
      </c>
      <c r="F38" s="38">
        <v>2370160.75</v>
      </c>
      <c r="G38" s="38">
        <v>2331515.38</v>
      </c>
      <c r="H38" s="38">
        <v>2326810.31</v>
      </c>
      <c r="I38" s="38">
        <v>2658512.94</v>
      </c>
      <c r="J38" s="38">
        <v>0</v>
      </c>
      <c r="K38" s="38">
        <v>5805494.08</v>
      </c>
      <c r="L38" s="38">
        <v>0</v>
      </c>
      <c r="M38" s="38">
        <v>6524182.83</v>
      </c>
      <c r="N38" s="38">
        <v>3516675.65</v>
      </c>
      <c r="O38" s="38">
        <v>3486069.85</v>
      </c>
      <c r="P38" s="38">
        <v>3305231.97</v>
      </c>
      <c r="Q38" s="87">
        <f t="shared" si="13"/>
        <v>34957214.94</v>
      </c>
      <c r="R38" s="88">
        <f>+Q38/(C38+D38)</f>
        <v>1</v>
      </c>
      <c r="S38" s="87">
        <f t="shared" si="15"/>
        <v>0</v>
      </c>
      <c r="T38" s="88">
        <f t="shared" si="16"/>
        <v>0</v>
      </c>
      <c r="U38" s="87">
        <f t="shared" si="17"/>
        <v>0</v>
      </c>
      <c r="V38" s="88">
        <f t="shared" si="18"/>
        <v>0</v>
      </c>
      <c r="W38" s="3"/>
      <c r="X38" s="3"/>
      <c r="Y38" s="3"/>
      <c r="Z38" s="3"/>
      <c r="AA38" s="3"/>
      <c r="AB38" s="2"/>
      <c r="AC38" s="2"/>
    </row>
    <row r="39" spans="1:29" s="7" customFormat="1" ht="15">
      <c r="A39" s="95" t="s">
        <v>82</v>
      </c>
      <c r="B39" s="22" t="s">
        <v>25</v>
      </c>
      <c r="C39" s="38">
        <f>20000*12+130412.47</f>
        <v>370412.47</v>
      </c>
      <c r="D39" s="39"/>
      <c r="E39" s="39">
        <v>28065</v>
      </c>
      <c r="F39" s="38">
        <v>12669</v>
      </c>
      <c r="G39" s="38">
        <v>8572</v>
      </c>
      <c r="H39" s="38">
        <v>63658.44</v>
      </c>
      <c r="I39" s="38">
        <v>10401</v>
      </c>
      <c r="J39" s="38">
        <v>20045.1</v>
      </c>
      <c r="K39" s="38">
        <v>9529.05</v>
      </c>
      <c r="L39" s="38">
        <v>12318.8</v>
      </c>
      <c r="M39" s="38">
        <v>11289.05</v>
      </c>
      <c r="N39" s="38">
        <v>148590.23</v>
      </c>
      <c r="O39" s="38">
        <v>23967.4</v>
      </c>
      <c r="P39" s="38">
        <v>21307.4</v>
      </c>
      <c r="Q39" s="87">
        <f t="shared" si="13"/>
        <v>370412.47000000003</v>
      </c>
      <c r="R39" s="88">
        <f t="shared" si="14"/>
        <v>1.0000000000000002</v>
      </c>
      <c r="S39" s="87">
        <f t="shared" si="15"/>
        <v>0</v>
      </c>
      <c r="T39" s="88">
        <f t="shared" si="16"/>
        <v>0</v>
      </c>
      <c r="U39" s="87">
        <f t="shared" si="17"/>
        <v>0</v>
      </c>
      <c r="V39" s="88">
        <f t="shared" si="18"/>
        <v>0</v>
      </c>
      <c r="W39" s="3"/>
      <c r="X39" s="3"/>
      <c r="Y39" s="3"/>
      <c r="Z39" s="3"/>
      <c r="AA39" s="3"/>
      <c r="AB39" s="2"/>
      <c r="AC39" s="2"/>
    </row>
    <row r="40" spans="1:29" s="7" customFormat="1" ht="15">
      <c r="A40" s="95" t="s">
        <v>83</v>
      </c>
      <c r="B40" s="22" t="s">
        <v>26</v>
      </c>
      <c r="C40" s="38">
        <f>4000*12+6663</f>
        <v>54663</v>
      </c>
      <c r="D40" s="39"/>
      <c r="E40" s="39">
        <v>4574</v>
      </c>
      <c r="F40" s="38">
        <v>4653</v>
      </c>
      <c r="G40" s="38">
        <v>4337</v>
      </c>
      <c r="H40" s="38">
        <v>4349</v>
      </c>
      <c r="I40" s="38">
        <v>4357</v>
      </c>
      <c r="J40" s="38">
        <v>4357</v>
      </c>
      <c r="K40" s="38">
        <v>4337</v>
      </c>
      <c r="L40" s="38">
        <v>4567</v>
      </c>
      <c r="M40" s="38">
        <v>4798</v>
      </c>
      <c r="N40" s="38">
        <v>4800</v>
      </c>
      <c r="O40" s="38">
        <v>4789</v>
      </c>
      <c r="P40" s="38">
        <v>4745</v>
      </c>
      <c r="Q40" s="87">
        <f t="shared" si="13"/>
        <v>54663</v>
      </c>
      <c r="R40" s="88">
        <f t="shared" si="14"/>
        <v>1</v>
      </c>
      <c r="S40" s="87">
        <f t="shared" si="15"/>
        <v>0</v>
      </c>
      <c r="T40" s="88">
        <f t="shared" si="16"/>
        <v>0</v>
      </c>
      <c r="U40" s="87">
        <f t="shared" si="17"/>
        <v>0</v>
      </c>
      <c r="V40" s="88">
        <f t="shared" si="18"/>
        <v>0</v>
      </c>
      <c r="W40" s="3"/>
      <c r="X40" s="3"/>
      <c r="Y40" s="3"/>
      <c r="Z40" s="3"/>
      <c r="AA40" s="3"/>
      <c r="AB40" s="2"/>
      <c r="AC40" s="2"/>
    </row>
    <row r="41" spans="1:29" s="7" customFormat="1" ht="15">
      <c r="A41" s="20" t="s">
        <v>27</v>
      </c>
      <c r="B41" s="8" t="s">
        <v>261</v>
      </c>
      <c r="C41" s="66">
        <f>+C42+C43</f>
        <v>448058</v>
      </c>
      <c r="D41" s="66">
        <f>+D42+D43</f>
        <v>0</v>
      </c>
      <c r="E41" s="66">
        <f aca="true" t="shared" si="19" ref="E41:P41">SUM(E43:E43)</f>
        <v>0</v>
      </c>
      <c r="F41" s="66">
        <f t="shared" si="19"/>
        <v>0</v>
      </c>
      <c r="G41" s="66">
        <f t="shared" si="19"/>
        <v>0</v>
      </c>
      <c r="H41" s="66">
        <f t="shared" si="19"/>
        <v>0</v>
      </c>
      <c r="I41" s="66">
        <f t="shared" si="19"/>
        <v>59495.8</v>
      </c>
      <c r="J41" s="66">
        <f t="shared" si="19"/>
        <v>1498.6</v>
      </c>
      <c r="K41" s="66">
        <f t="shared" si="19"/>
        <v>0</v>
      </c>
      <c r="L41" s="66">
        <f>+L42+L43</f>
        <v>0</v>
      </c>
      <c r="M41" s="66">
        <f t="shared" si="19"/>
        <v>0</v>
      </c>
      <c r="N41" s="66">
        <f t="shared" si="19"/>
        <v>0</v>
      </c>
      <c r="O41" s="66">
        <f t="shared" si="19"/>
        <v>200600</v>
      </c>
      <c r="P41" s="66">
        <f t="shared" si="19"/>
        <v>186463.6</v>
      </c>
      <c r="Q41" s="70">
        <f>SUM(E41:P41)</f>
        <v>448058</v>
      </c>
      <c r="R41" s="71">
        <f t="shared" si="14"/>
        <v>1</v>
      </c>
      <c r="S41" s="70">
        <f t="shared" si="15"/>
        <v>0</v>
      </c>
      <c r="T41" s="71">
        <f t="shared" si="16"/>
        <v>0</v>
      </c>
      <c r="U41" s="89">
        <f>+C41+D41-Q41</f>
        <v>0</v>
      </c>
      <c r="V41" s="68">
        <f t="shared" si="18"/>
        <v>0</v>
      </c>
      <c r="W41" s="3"/>
      <c r="X41" s="3"/>
      <c r="Y41" s="3"/>
      <c r="Z41" s="3"/>
      <c r="AA41" s="3"/>
      <c r="AB41" s="2"/>
      <c r="AC41" s="2"/>
    </row>
    <row r="42" spans="1:29" s="7" customFormat="1" ht="15">
      <c r="A42" s="95" t="s">
        <v>84</v>
      </c>
      <c r="B42" s="22" t="s">
        <v>28</v>
      </c>
      <c r="C42" s="38">
        <v>0</v>
      </c>
      <c r="D42" s="39"/>
      <c r="E42" s="39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87">
        <f t="shared" si="13"/>
        <v>0</v>
      </c>
      <c r="R42" s="88" t="e">
        <f>+Q42/(D42+C42)</f>
        <v>#DIV/0!</v>
      </c>
      <c r="S42" s="87">
        <f t="shared" si="15"/>
        <v>0</v>
      </c>
      <c r="T42" s="88" t="e">
        <f t="shared" si="16"/>
        <v>#DIV/0!</v>
      </c>
      <c r="U42" s="87">
        <f t="shared" si="17"/>
        <v>0</v>
      </c>
      <c r="V42" s="88" t="e">
        <f t="shared" si="18"/>
        <v>#DIV/0!</v>
      </c>
      <c r="W42" s="3"/>
      <c r="X42" s="3"/>
      <c r="Y42" s="3"/>
      <c r="Z42" s="3"/>
      <c r="AA42" s="3"/>
      <c r="AB42" s="2"/>
      <c r="AC42" s="2"/>
    </row>
    <row r="43" spans="1:29" s="7" customFormat="1" ht="15">
      <c r="A43" s="95" t="s">
        <v>221</v>
      </c>
      <c r="B43" s="22" t="s">
        <v>220</v>
      </c>
      <c r="C43" s="38">
        <f>100000+348058</f>
        <v>448058</v>
      </c>
      <c r="D43" s="39"/>
      <c r="E43" s="39">
        <v>0</v>
      </c>
      <c r="F43" s="38">
        <v>0</v>
      </c>
      <c r="G43" s="38">
        <v>0</v>
      </c>
      <c r="H43" s="38">
        <v>0</v>
      </c>
      <c r="I43" s="38">
        <v>59495.8</v>
      </c>
      <c r="J43" s="38">
        <v>1498.6</v>
      </c>
      <c r="K43" s="38">
        <v>0</v>
      </c>
      <c r="L43" s="38">
        <v>0</v>
      </c>
      <c r="M43" s="38">
        <v>0</v>
      </c>
      <c r="N43" s="38">
        <v>0</v>
      </c>
      <c r="O43" s="38">
        <v>200600</v>
      </c>
      <c r="P43" s="38">
        <v>186463.6</v>
      </c>
      <c r="Q43" s="87">
        <f t="shared" si="13"/>
        <v>448058</v>
      </c>
      <c r="R43" s="88">
        <f>+Q43/(D43+C43)</f>
        <v>1</v>
      </c>
      <c r="S43" s="87">
        <f t="shared" si="15"/>
        <v>0</v>
      </c>
      <c r="T43" s="88">
        <f t="shared" si="16"/>
        <v>0</v>
      </c>
      <c r="U43" s="87">
        <f t="shared" si="17"/>
        <v>0</v>
      </c>
      <c r="V43" s="88">
        <f t="shared" si="18"/>
        <v>0</v>
      </c>
      <c r="W43" s="3"/>
      <c r="X43" s="3"/>
      <c r="Y43" s="3"/>
      <c r="Z43" s="3"/>
      <c r="AA43" s="3"/>
      <c r="AB43" s="2"/>
      <c r="AC43" s="2"/>
    </row>
    <row r="44" spans="1:29" s="7" customFormat="1" ht="15">
      <c r="A44" s="20" t="s">
        <v>29</v>
      </c>
      <c r="B44" s="8" t="s">
        <v>262</v>
      </c>
      <c r="C44" s="66">
        <f>+C45+C46</f>
        <v>5149434</v>
      </c>
      <c r="D44" s="66">
        <f>+D45</f>
        <v>2898000</v>
      </c>
      <c r="E44" s="66">
        <f aca="true" t="shared" si="20" ref="E44:P44">SUM(E45:E45)</f>
        <v>498600</v>
      </c>
      <c r="F44" s="66">
        <f t="shared" si="20"/>
        <v>567700</v>
      </c>
      <c r="G44" s="66">
        <f t="shared" si="20"/>
        <v>626600</v>
      </c>
      <c r="H44" s="66">
        <f>SUM(H45:H45)</f>
        <v>546700</v>
      </c>
      <c r="I44" s="66">
        <f t="shared" si="20"/>
        <v>643200</v>
      </c>
      <c r="J44" s="66">
        <f t="shared" si="20"/>
        <v>1018500</v>
      </c>
      <c r="K44" s="66">
        <f t="shared" si="20"/>
        <v>752100</v>
      </c>
      <c r="L44" s="66">
        <f t="shared" si="20"/>
        <v>849330</v>
      </c>
      <c r="M44" s="66">
        <f t="shared" si="20"/>
        <v>550580</v>
      </c>
      <c r="N44" s="66">
        <f t="shared" si="20"/>
        <v>584420</v>
      </c>
      <c r="O44" s="66">
        <f>+O45+O46</f>
        <v>873804</v>
      </c>
      <c r="P44" s="66">
        <f t="shared" si="20"/>
        <v>535900</v>
      </c>
      <c r="Q44" s="70">
        <f>SUM(E44:P44)</f>
        <v>8047434</v>
      </c>
      <c r="R44" s="71">
        <f aca="true" t="shared" si="21" ref="R44:R52">+Q44/C44</f>
        <v>1.5627802977958354</v>
      </c>
      <c r="S44" s="70">
        <f t="shared" si="15"/>
        <v>-2898000</v>
      </c>
      <c r="T44" s="71">
        <f t="shared" si="16"/>
        <v>-0.5627802977958354</v>
      </c>
      <c r="U44" s="89">
        <f>+C44+D44-Q44</f>
        <v>0</v>
      </c>
      <c r="V44" s="71">
        <f t="shared" si="18"/>
        <v>0</v>
      </c>
      <c r="W44" s="3"/>
      <c r="X44" s="3"/>
      <c r="Y44" s="3"/>
      <c r="Z44" s="3"/>
      <c r="AA44" s="3"/>
      <c r="AB44" s="2"/>
      <c r="AC44" s="2"/>
    </row>
    <row r="45" spans="1:29" s="7" customFormat="1" ht="15">
      <c r="A45" s="95" t="s">
        <v>85</v>
      </c>
      <c r="B45" s="22" t="s">
        <v>30</v>
      </c>
      <c r="C45" s="38">
        <f>575300*12-500000-1472470</f>
        <v>4931130</v>
      </c>
      <c r="D45" s="39">
        <v>2898000</v>
      </c>
      <c r="E45" s="39">
        <v>498600</v>
      </c>
      <c r="F45" s="38">
        <v>567700</v>
      </c>
      <c r="G45" s="38">
        <v>626600</v>
      </c>
      <c r="H45" s="38">
        <v>546700</v>
      </c>
      <c r="I45" s="38">
        <v>643200</v>
      </c>
      <c r="J45" s="38">
        <v>1018500</v>
      </c>
      <c r="K45" s="38">
        <v>752100</v>
      </c>
      <c r="L45" s="38">
        <v>849330</v>
      </c>
      <c r="M45" s="38">
        <v>550580</v>
      </c>
      <c r="N45" s="38">
        <v>584420</v>
      </c>
      <c r="O45" s="38">
        <v>655500</v>
      </c>
      <c r="P45" s="38">
        <v>535900</v>
      </c>
      <c r="Q45" s="87">
        <f t="shared" si="13"/>
        <v>7829130</v>
      </c>
      <c r="R45" s="88">
        <f t="shared" si="21"/>
        <v>1.5876949096860151</v>
      </c>
      <c r="S45" s="87">
        <f t="shared" si="15"/>
        <v>-2898000</v>
      </c>
      <c r="T45" s="88">
        <f t="shared" si="16"/>
        <v>-0.5876949096860151</v>
      </c>
      <c r="U45" s="87">
        <f t="shared" si="17"/>
        <v>0</v>
      </c>
      <c r="V45" s="88">
        <f t="shared" si="18"/>
        <v>0</v>
      </c>
      <c r="W45" s="3"/>
      <c r="X45" s="3"/>
      <c r="Y45" s="3"/>
      <c r="Z45" s="3"/>
      <c r="AA45" s="3"/>
      <c r="AB45" s="2"/>
      <c r="AC45" s="2"/>
    </row>
    <row r="46" spans="1:29" s="7" customFormat="1" ht="15">
      <c r="A46" s="122" t="s">
        <v>344</v>
      </c>
      <c r="B46" s="22" t="s">
        <v>343</v>
      </c>
      <c r="C46" s="38">
        <v>218304</v>
      </c>
      <c r="D46" s="39"/>
      <c r="E46" s="39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218304</v>
      </c>
      <c r="P46" s="38">
        <v>0</v>
      </c>
      <c r="Q46" s="87">
        <f>SUM(E46:P46)</f>
        <v>218304</v>
      </c>
      <c r="R46" s="88">
        <f>+Q46/C46</f>
        <v>1</v>
      </c>
      <c r="S46" s="87">
        <f>+C46-Q46</f>
        <v>0</v>
      </c>
      <c r="T46" s="88">
        <f>+S46/C46</f>
        <v>0</v>
      </c>
      <c r="U46" s="87">
        <f>+C46+D46-Q46</f>
        <v>0</v>
      </c>
      <c r="V46" s="88">
        <f>+U46/C46</f>
        <v>0</v>
      </c>
      <c r="W46" s="3"/>
      <c r="X46" s="3"/>
      <c r="Y46" s="3"/>
      <c r="Z46" s="3"/>
      <c r="AA46" s="3"/>
      <c r="AB46" s="2"/>
      <c r="AC46" s="2"/>
    </row>
    <row r="47" spans="1:29" s="7" customFormat="1" ht="15">
      <c r="A47" s="20" t="s">
        <v>31</v>
      </c>
      <c r="B47" s="8" t="s">
        <v>263</v>
      </c>
      <c r="C47" s="66">
        <f aca="true" t="shared" si="22" ref="C47:I47">+C48+C49</f>
        <v>723919.55</v>
      </c>
      <c r="D47" s="66">
        <f>+D48+D49</f>
        <v>0</v>
      </c>
      <c r="E47" s="66">
        <f t="shared" si="22"/>
        <v>46000</v>
      </c>
      <c r="F47" s="66">
        <f t="shared" si="22"/>
        <v>42000</v>
      </c>
      <c r="G47" s="66">
        <f t="shared" si="22"/>
        <v>40000</v>
      </c>
      <c r="H47" s="66">
        <f>+H48+H49</f>
        <v>42000</v>
      </c>
      <c r="I47" s="66">
        <f t="shared" si="22"/>
        <v>42000</v>
      </c>
      <c r="J47" s="66">
        <f aca="true" t="shared" si="23" ref="J47:P47">+J48+J49</f>
        <v>42000</v>
      </c>
      <c r="K47" s="66">
        <f t="shared" si="23"/>
        <v>54000</v>
      </c>
      <c r="L47" s="66">
        <f t="shared" si="23"/>
        <v>54000</v>
      </c>
      <c r="M47" s="66">
        <f t="shared" si="23"/>
        <v>56000</v>
      </c>
      <c r="N47" s="66">
        <f t="shared" si="23"/>
        <v>62000</v>
      </c>
      <c r="O47" s="66">
        <f t="shared" si="23"/>
        <v>64000</v>
      </c>
      <c r="P47" s="66">
        <f t="shared" si="23"/>
        <v>179919.55</v>
      </c>
      <c r="Q47" s="70">
        <f>SUM(E47:P47)</f>
        <v>723919.55</v>
      </c>
      <c r="R47" s="71">
        <f t="shared" si="21"/>
        <v>1</v>
      </c>
      <c r="S47" s="70">
        <f t="shared" si="15"/>
        <v>0</v>
      </c>
      <c r="T47" s="71">
        <f t="shared" si="16"/>
        <v>0</v>
      </c>
      <c r="U47" s="89">
        <f>+U48+U49</f>
        <v>0</v>
      </c>
      <c r="V47" s="68">
        <f t="shared" si="18"/>
        <v>0</v>
      </c>
      <c r="W47" s="3"/>
      <c r="X47" s="3"/>
      <c r="Y47" s="3"/>
      <c r="Z47" s="3"/>
      <c r="AA47" s="3"/>
      <c r="AB47" s="2"/>
      <c r="AC47" s="2"/>
    </row>
    <row r="48" spans="1:29" s="7" customFormat="1" ht="15">
      <c r="A48" s="95" t="s">
        <v>86</v>
      </c>
      <c r="B48" s="22" t="s">
        <v>146</v>
      </c>
      <c r="C48" s="38">
        <f>48000*12-300000+100000+42000+305919.55</f>
        <v>723919.55</v>
      </c>
      <c r="D48" s="39"/>
      <c r="E48" s="39">
        <v>46000</v>
      </c>
      <c r="F48" s="38">
        <v>42000</v>
      </c>
      <c r="G48" s="38">
        <v>40000</v>
      </c>
      <c r="H48" s="38">
        <v>42000</v>
      </c>
      <c r="I48" s="38">
        <v>42000</v>
      </c>
      <c r="J48" s="38">
        <v>42000</v>
      </c>
      <c r="K48" s="38">
        <v>54000</v>
      </c>
      <c r="L48" s="38">
        <v>54000</v>
      </c>
      <c r="M48" s="38">
        <v>56000</v>
      </c>
      <c r="N48" s="38">
        <v>62000</v>
      </c>
      <c r="O48" s="38">
        <v>64000</v>
      </c>
      <c r="P48" s="38">
        <v>179919.55</v>
      </c>
      <c r="Q48" s="87">
        <f t="shared" si="13"/>
        <v>723919.55</v>
      </c>
      <c r="R48" s="88">
        <f t="shared" si="21"/>
        <v>1</v>
      </c>
      <c r="S48" s="87">
        <f t="shared" si="15"/>
        <v>0</v>
      </c>
      <c r="T48" s="88">
        <f t="shared" si="16"/>
        <v>0</v>
      </c>
      <c r="U48" s="87">
        <f t="shared" si="17"/>
        <v>0</v>
      </c>
      <c r="V48" s="88">
        <f t="shared" si="18"/>
        <v>0</v>
      </c>
      <c r="W48" s="3"/>
      <c r="X48" s="3"/>
      <c r="Y48" s="3"/>
      <c r="Z48" s="3"/>
      <c r="AA48" s="3"/>
      <c r="AB48" s="2"/>
      <c r="AC48" s="2"/>
    </row>
    <row r="49" spans="1:29" s="7" customFormat="1" ht="15">
      <c r="A49" s="95" t="s">
        <v>222</v>
      </c>
      <c r="B49" s="22" t="s">
        <v>223</v>
      </c>
      <c r="C49" s="38">
        <v>0</v>
      </c>
      <c r="D49" s="39"/>
      <c r="E49" s="39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87">
        <f t="shared" si="13"/>
        <v>0</v>
      </c>
      <c r="R49" s="88" t="e">
        <f t="shared" si="21"/>
        <v>#DIV/0!</v>
      </c>
      <c r="S49" s="87">
        <f t="shared" si="15"/>
        <v>0</v>
      </c>
      <c r="T49" s="88" t="e">
        <f t="shared" si="16"/>
        <v>#DIV/0!</v>
      </c>
      <c r="U49" s="87">
        <f t="shared" si="17"/>
        <v>0</v>
      </c>
      <c r="V49" s="88" t="e">
        <f t="shared" si="18"/>
        <v>#DIV/0!</v>
      </c>
      <c r="W49" s="3"/>
      <c r="X49" s="3"/>
      <c r="Y49" s="3"/>
      <c r="Z49" s="3"/>
      <c r="AA49" s="3"/>
      <c r="AB49" s="2"/>
      <c r="AC49" s="2"/>
    </row>
    <row r="50" spans="1:29" s="7" customFormat="1" ht="15">
      <c r="A50" s="20" t="s">
        <v>32</v>
      </c>
      <c r="B50" s="8" t="s">
        <v>264</v>
      </c>
      <c r="C50" s="66">
        <f>+C51+C52+C53</f>
        <v>120391686.58999999</v>
      </c>
      <c r="D50" s="66">
        <f>+D51+D52+D53</f>
        <v>37172617</v>
      </c>
      <c r="E50" s="66">
        <f>+E51+E52</f>
        <v>1092758.14</v>
      </c>
      <c r="F50" s="66">
        <f>+F51+F52</f>
        <v>1373159.94</v>
      </c>
      <c r="G50" s="66">
        <f>+G51+G52+G53</f>
        <v>107131931</v>
      </c>
      <c r="H50" s="66">
        <f>+H51+H52+H53</f>
        <v>1070318.87</v>
      </c>
      <c r="I50" s="66">
        <f>+I51+I52+I53</f>
        <v>964110.94</v>
      </c>
      <c r="J50" s="66">
        <f>+J51+J52+J53</f>
        <v>1271034.57</v>
      </c>
      <c r="K50" s="66">
        <f>+K51+K52</f>
        <v>1074383.17</v>
      </c>
      <c r="L50" s="66">
        <f>+L51+L52</f>
        <v>1323476.24</v>
      </c>
      <c r="M50" s="66">
        <f>+M51+M52+M53</f>
        <v>1392476.25</v>
      </c>
      <c r="N50" s="66">
        <f>+N51+N52+N53</f>
        <v>38442938.25</v>
      </c>
      <c r="O50" s="66">
        <f>+O51+O52</f>
        <v>1132021.25</v>
      </c>
      <c r="P50" s="66">
        <f>+P51+P52+P53</f>
        <v>1295694.9700000002</v>
      </c>
      <c r="Q50" s="70">
        <f>SUM(E50:P50)</f>
        <v>157564303.59</v>
      </c>
      <c r="R50" s="71">
        <f t="shared" si="21"/>
        <v>1.3087639857276296</v>
      </c>
      <c r="S50" s="70">
        <f t="shared" si="15"/>
        <v>-37172617.000000015</v>
      </c>
      <c r="T50" s="71">
        <f t="shared" si="16"/>
        <v>-0.30876398572762964</v>
      </c>
      <c r="U50" s="89">
        <f>+U51+U52+U53</f>
        <v>0</v>
      </c>
      <c r="V50" s="68">
        <f t="shared" si="18"/>
        <v>0</v>
      </c>
      <c r="W50" s="3"/>
      <c r="X50" s="3"/>
      <c r="Y50" s="3"/>
      <c r="Z50" s="3"/>
      <c r="AA50" s="3"/>
      <c r="AB50" s="2"/>
      <c r="AC50" s="2"/>
    </row>
    <row r="51" spans="1:29" s="7" customFormat="1" ht="15">
      <c r="A51" s="95" t="s">
        <v>87</v>
      </c>
      <c r="B51" s="22" t="s">
        <v>33</v>
      </c>
      <c r="C51" s="38">
        <f>1075000*12+1416382.99</f>
        <v>14316382.99</v>
      </c>
      <c r="D51" s="39"/>
      <c r="E51" s="39">
        <v>1092758.14</v>
      </c>
      <c r="F51" s="38">
        <v>1373159.94</v>
      </c>
      <c r="G51" s="38">
        <v>1060030</v>
      </c>
      <c r="H51" s="38">
        <v>1070318.87</v>
      </c>
      <c r="I51" s="38">
        <v>964110.94</v>
      </c>
      <c r="J51" s="38">
        <v>1271034.57</v>
      </c>
      <c r="K51" s="38">
        <v>1074383.17</v>
      </c>
      <c r="L51" s="38">
        <v>1323476.24</v>
      </c>
      <c r="M51" s="38">
        <v>1392476.25</v>
      </c>
      <c r="N51" s="38">
        <v>1270321.25</v>
      </c>
      <c r="O51" s="38">
        <v>1132021.25</v>
      </c>
      <c r="P51" s="38">
        <v>1292292.37</v>
      </c>
      <c r="Q51" s="87">
        <f t="shared" si="13"/>
        <v>14316382.990000002</v>
      </c>
      <c r="R51" s="88">
        <f t="shared" si="21"/>
        <v>1.0000000000000002</v>
      </c>
      <c r="S51" s="87">
        <f t="shared" si="15"/>
        <v>0</v>
      </c>
      <c r="T51" s="88">
        <f t="shared" si="16"/>
        <v>0</v>
      </c>
      <c r="U51" s="87">
        <f t="shared" si="17"/>
        <v>0</v>
      </c>
      <c r="V51" s="88">
        <f t="shared" si="18"/>
        <v>0</v>
      </c>
      <c r="W51" s="3"/>
      <c r="X51" s="3"/>
      <c r="Y51" s="3"/>
      <c r="Z51" s="3"/>
      <c r="AA51" s="3"/>
      <c r="AB51" s="2"/>
      <c r="AC51" s="2"/>
    </row>
    <row r="52" spans="1:29" s="7" customFormat="1" ht="15">
      <c r="A52" s="95" t="s">
        <v>88</v>
      </c>
      <c r="B52" s="22" t="s">
        <v>180</v>
      </c>
      <c r="C52" s="38">
        <v>0</v>
      </c>
      <c r="D52" s="39"/>
      <c r="E52" s="39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87">
        <f t="shared" si="13"/>
        <v>0</v>
      </c>
      <c r="R52" s="88" t="e">
        <f t="shared" si="21"/>
        <v>#DIV/0!</v>
      </c>
      <c r="S52" s="87">
        <f t="shared" si="15"/>
        <v>0</v>
      </c>
      <c r="T52" s="88" t="e">
        <f t="shared" si="16"/>
        <v>#DIV/0!</v>
      </c>
      <c r="U52" s="87">
        <f t="shared" si="17"/>
        <v>0</v>
      </c>
      <c r="V52" s="88" t="e">
        <f t="shared" si="18"/>
        <v>#DIV/0!</v>
      </c>
      <c r="W52" s="3"/>
      <c r="X52" s="3"/>
      <c r="Y52" s="3"/>
      <c r="Z52" s="3"/>
      <c r="AA52" s="3"/>
      <c r="AB52" s="2"/>
      <c r="AC52" s="2"/>
    </row>
    <row r="53" spans="1:29" s="7" customFormat="1" ht="15">
      <c r="A53" s="95" t="s">
        <v>175</v>
      </c>
      <c r="B53" s="22" t="s">
        <v>237</v>
      </c>
      <c r="C53" s="119">
        <f>106071901+3402.6</f>
        <v>106075303.6</v>
      </c>
      <c r="D53" s="39">
        <v>37172617</v>
      </c>
      <c r="E53" s="39">
        <v>0</v>
      </c>
      <c r="F53" s="38">
        <v>0</v>
      </c>
      <c r="G53" s="38">
        <v>106071901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37172617</v>
      </c>
      <c r="O53" s="38">
        <v>0</v>
      </c>
      <c r="P53" s="38">
        <v>3402.6</v>
      </c>
      <c r="Q53" s="87">
        <f t="shared" si="13"/>
        <v>143247920.6</v>
      </c>
      <c r="R53" s="88">
        <f>+Q53/(C53+D53)</f>
        <v>1</v>
      </c>
      <c r="S53" s="87">
        <f t="shared" si="15"/>
        <v>-37172617</v>
      </c>
      <c r="T53" s="88">
        <f t="shared" si="16"/>
        <v>-0.35043611225638766</v>
      </c>
      <c r="U53" s="87">
        <f t="shared" si="17"/>
        <v>0</v>
      </c>
      <c r="V53" s="88">
        <f>+U53/(C53+D53)</f>
        <v>0</v>
      </c>
      <c r="W53" s="3"/>
      <c r="X53" s="3"/>
      <c r="Y53" s="3"/>
      <c r="Z53" s="3"/>
      <c r="AA53" s="3"/>
      <c r="AB53" s="2"/>
      <c r="AC53" s="2"/>
    </row>
    <row r="54" spans="1:29" s="7" customFormat="1" ht="15">
      <c r="A54" s="20" t="s">
        <v>34</v>
      </c>
      <c r="B54" s="8" t="s">
        <v>265</v>
      </c>
      <c r="C54" s="66">
        <f>+C55</f>
        <v>690000</v>
      </c>
      <c r="D54" s="66">
        <f>+D55</f>
        <v>11701051.31</v>
      </c>
      <c r="E54" s="66">
        <f aca="true" t="shared" si="24" ref="E54:P54">+E55</f>
        <v>375886.23</v>
      </c>
      <c r="F54" s="66">
        <f t="shared" si="24"/>
        <v>114443.18</v>
      </c>
      <c r="G54" s="66">
        <f t="shared" si="24"/>
        <v>42705.43</v>
      </c>
      <c r="H54" s="66">
        <f>+H55</f>
        <v>18862.26</v>
      </c>
      <c r="I54" s="66">
        <f t="shared" si="24"/>
        <v>42481.15</v>
      </c>
      <c r="J54" s="66">
        <f t="shared" si="24"/>
        <v>7291.69</v>
      </c>
      <c r="K54" s="66">
        <f t="shared" si="24"/>
        <v>42075.79</v>
      </c>
      <c r="L54" s="66">
        <f t="shared" si="24"/>
        <v>2453183.73</v>
      </c>
      <c r="M54" s="66">
        <f t="shared" si="24"/>
        <v>2548125.23</v>
      </c>
      <c r="N54" s="66">
        <f t="shared" si="24"/>
        <v>2486553.43</v>
      </c>
      <c r="O54" s="66">
        <f t="shared" si="24"/>
        <v>2583723.41</v>
      </c>
      <c r="P54" s="66">
        <f t="shared" si="24"/>
        <v>0</v>
      </c>
      <c r="Q54" s="70">
        <f>SUM(E54:P54)</f>
        <v>10715331.53</v>
      </c>
      <c r="R54" s="71">
        <f aca="true" t="shared" si="25" ref="R54:R69">+Q54/C54</f>
        <v>15.529465985507246</v>
      </c>
      <c r="S54" s="70">
        <f t="shared" si="15"/>
        <v>-10025331.53</v>
      </c>
      <c r="T54" s="71">
        <f t="shared" si="16"/>
        <v>-14.529465985507246</v>
      </c>
      <c r="U54" s="89">
        <f>+U55</f>
        <v>1675719.7800000012</v>
      </c>
      <c r="V54" s="68">
        <f aca="true" t="shared" si="26" ref="V54:V69">+U54/C54</f>
        <v>2.4285793913043494</v>
      </c>
      <c r="W54" s="3"/>
      <c r="X54" s="3"/>
      <c r="Y54" s="3"/>
      <c r="Z54" s="3"/>
      <c r="AA54" s="3"/>
      <c r="AB54" s="2"/>
      <c r="AC54" s="2"/>
    </row>
    <row r="55" spans="1:29" s="7" customFormat="1" ht="15">
      <c r="A55" s="95" t="s">
        <v>89</v>
      </c>
      <c r="B55" s="22" t="s">
        <v>35</v>
      </c>
      <c r="C55" s="38">
        <f>600000*12-1000000-798000-4962000+200000+50000</f>
        <v>690000</v>
      </c>
      <c r="D55" s="42">
        <v>11701051.31</v>
      </c>
      <c r="E55" s="41">
        <v>375886.23</v>
      </c>
      <c r="F55" s="42">
        <v>114443.18</v>
      </c>
      <c r="G55" s="42">
        <v>42705.43</v>
      </c>
      <c r="H55" s="42">
        <v>18862.26</v>
      </c>
      <c r="I55" s="42">
        <v>42481.15</v>
      </c>
      <c r="J55" s="42">
        <v>7291.69</v>
      </c>
      <c r="K55" s="42">
        <v>42075.79</v>
      </c>
      <c r="L55" s="42">
        <v>2453183.73</v>
      </c>
      <c r="M55" s="42">
        <v>2548125.23</v>
      </c>
      <c r="N55" s="42">
        <v>2486553.43</v>
      </c>
      <c r="O55" s="42">
        <v>2583723.41</v>
      </c>
      <c r="P55" s="42">
        <v>0</v>
      </c>
      <c r="Q55" s="87">
        <f t="shared" si="13"/>
        <v>10715331.53</v>
      </c>
      <c r="R55" s="88">
        <f>+Q55/C55</f>
        <v>15.529465985507246</v>
      </c>
      <c r="S55" s="87">
        <f t="shared" si="15"/>
        <v>-10025331.53</v>
      </c>
      <c r="T55" s="88">
        <f t="shared" si="16"/>
        <v>-14.529465985507246</v>
      </c>
      <c r="U55" s="87">
        <f t="shared" si="17"/>
        <v>1675719.7800000012</v>
      </c>
      <c r="V55" s="88">
        <f t="shared" si="26"/>
        <v>2.4285793913043494</v>
      </c>
      <c r="W55" s="3"/>
      <c r="X55" s="3"/>
      <c r="Y55" s="3"/>
      <c r="Z55" s="3"/>
      <c r="AA55" s="3"/>
      <c r="AB55" s="2"/>
      <c r="AC55" s="2"/>
    </row>
    <row r="56" spans="1:29" s="7" customFormat="1" ht="45">
      <c r="A56" s="85" t="s">
        <v>36</v>
      </c>
      <c r="B56" s="36" t="s">
        <v>266</v>
      </c>
      <c r="C56" s="66">
        <f>+C57+C58+C59+C60+C61+C62+C63+C64</f>
        <v>6526254.2299999995</v>
      </c>
      <c r="D56" s="66">
        <f>+D57+D59+D61+D62+D63</f>
        <v>34579936</v>
      </c>
      <c r="E56" s="66">
        <f>+E63</f>
        <v>3898</v>
      </c>
      <c r="F56" s="66">
        <f>+F57+F59+F60+F61+F62+F63</f>
        <v>739982.63</v>
      </c>
      <c r="G56" s="66">
        <f>+G63</f>
        <v>21638</v>
      </c>
      <c r="H56" s="66">
        <f>+H57+H59+H60+H61+H62+H63</f>
        <v>632402.2</v>
      </c>
      <c r="I56" s="66">
        <f>+I63</f>
        <v>179360</v>
      </c>
      <c r="J56" s="66">
        <f>+J57+J59+J60+J61+J62+J63</f>
        <v>141867</v>
      </c>
      <c r="K56" s="66">
        <f>+K57+K59+K60+K61+K62+K63+K64</f>
        <v>6166.6</v>
      </c>
      <c r="L56" s="66">
        <f>+L57+L58+L59+L60+L61+L62+L63+L64</f>
        <v>719071.4</v>
      </c>
      <c r="M56" s="66">
        <f>+M57+M59+M61+M62+M63</f>
        <v>991372.28</v>
      </c>
      <c r="N56" s="66">
        <f>+N57+N59+N61+N62+N63</f>
        <v>40600</v>
      </c>
      <c r="O56" s="66">
        <f>+O57+O59+O61+O62+O63</f>
        <v>66316</v>
      </c>
      <c r="P56" s="66">
        <f>+P57+P58+P59+P60+P61+P62+P63+P64</f>
        <v>390898.6</v>
      </c>
      <c r="Q56" s="70">
        <f>SUM(E56:P56)</f>
        <v>3933572.7100000004</v>
      </c>
      <c r="R56" s="71">
        <f t="shared" si="25"/>
        <v>0.6027305359815872</v>
      </c>
      <c r="S56" s="70">
        <f t="shared" si="15"/>
        <v>2592681.519999999</v>
      </c>
      <c r="T56" s="71">
        <f t="shared" si="16"/>
        <v>0.3972694640184128</v>
      </c>
      <c r="U56" s="89">
        <f>+U57+U59+U60+U61+U62+U63</f>
        <v>37172617</v>
      </c>
      <c r="V56" s="68">
        <f t="shared" si="26"/>
        <v>5.695857943921992</v>
      </c>
      <c r="W56" s="3"/>
      <c r="X56" s="3"/>
      <c r="Y56" s="3"/>
      <c r="Z56" s="3"/>
      <c r="AA56" s="3"/>
      <c r="AB56" s="2"/>
      <c r="AC56" s="2"/>
    </row>
    <row r="57" spans="1:29" s="7" customFormat="1" ht="30">
      <c r="A57" s="112" t="s">
        <v>292</v>
      </c>
      <c r="B57" s="28" t="s">
        <v>291</v>
      </c>
      <c r="C57" s="38">
        <f>574379*12-880000-1976000-690000</f>
        <v>3346548</v>
      </c>
      <c r="D57" s="39">
        <v>34579936</v>
      </c>
      <c r="E57" s="38">
        <v>0</v>
      </c>
      <c r="F57" s="39">
        <v>0</v>
      </c>
      <c r="G57" s="39">
        <v>0</v>
      </c>
      <c r="H57" s="39">
        <v>612000</v>
      </c>
      <c r="I57" s="39">
        <v>0</v>
      </c>
      <c r="J57" s="39">
        <v>141867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87">
        <f t="shared" si="13"/>
        <v>753867</v>
      </c>
      <c r="R57" s="88">
        <f>+Q57/C57</f>
        <v>0.22526705130181907</v>
      </c>
      <c r="S57" s="87">
        <f>+C57-Q57</f>
        <v>2592681</v>
      </c>
      <c r="T57" s="88">
        <f>+S57/C57</f>
        <v>0.7747329486981809</v>
      </c>
      <c r="U57" s="87">
        <f t="shared" si="17"/>
        <v>37172617</v>
      </c>
      <c r="V57" s="88">
        <f>+U57/C57</f>
        <v>11.107749537732612</v>
      </c>
      <c r="W57" s="3"/>
      <c r="X57" s="3"/>
      <c r="Y57" s="3"/>
      <c r="Z57" s="3"/>
      <c r="AA57" s="3"/>
      <c r="AB57" s="2"/>
      <c r="AC57" s="2"/>
    </row>
    <row r="58" spans="1:29" s="7" customFormat="1" ht="30">
      <c r="A58" s="129" t="s">
        <v>337</v>
      </c>
      <c r="B58" s="28" t="s">
        <v>338</v>
      </c>
      <c r="C58" s="38">
        <f>60000+6900-13800</f>
        <v>53100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53100</v>
      </c>
      <c r="M58" s="39">
        <v>0</v>
      </c>
      <c r="N58" s="39">
        <v>0</v>
      </c>
      <c r="O58" s="39">
        <v>0</v>
      </c>
      <c r="P58" s="39">
        <v>0</v>
      </c>
      <c r="Q58" s="87">
        <f>SUM(E58:P58)</f>
        <v>53100</v>
      </c>
      <c r="R58" s="88">
        <f>+Q58/C58</f>
        <v>1</v>
      </c>
      <c r="S58" s="87">
        <f>+C58-Q58</f>
        <v>0</v>
      </c>
      <c r="T58" s="88">
        <f>+S58/C58</f>
        <v>0</v>
      </c>
      <c r="U58" s="87">
        <f>+C58+D58-Q58</f>
        <v>0</v>
      </c>
      <c r="V58" s="88">
        <f>+U58/C58</f>
        <v>0</v>
      </c>
      <c r="W58" s="3"/>
      <c r="X58" s="3"/>
      <c r="Y58" s="3"/>
      <c r="Z58" s="3"/>
      <c r="AA58" s="3"/>
      <c r="AB58" s="2"/>
      <c r="AC58" s="2"/>
    </row>
    <row r="59" spans="1:29" s="7" customFormat="1" ht="30">
      <c r="A59" s="109" t="s">
        <v>285</v>
      </c>
      <c r="B59" s="28" t="s">
        <v>284</v>
      </c>
      <c r="C59" s="38">
        <v>0</v>
      </c>
      <c r="D59" s="39"/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87">
        <f t="shared" si="13"/>
        <v>0</v>
      </c>
      <c r="R59" s="88" t="e">
        <f>+Q59/C59</f>
        <v>#DIV/0!</v>
      </c>
      <c r="S59" s="87">
        <f>+C59-Q59</f>
        <v>0</v>
      </c>
      <c r="T59" s="88" t="e">
        <f>+S59/C59</f>
        <v>#DIV/0!</v>
      </c>
      <c r="U59" s="87">
        <f t="shared" si="17"/>
        <v>0</v>
      </c>
      <c r="V59" s="88" t="e">
        <f>+U59/C59</f>
        <v>#DIV/0!</v>
      </c>
      <c r="W59" s="3"/>
      <c r="X59" s="3"/>
      <c r="Y59" s="3"/>
      <c r="Z59" s="3"/>
      <c r="AA59" s="3"/>
      <c r="AB59" s="2"/>
      <c r="AC59" s="2"/>
    </row>
    <row r="60" spans="1:29" s="7" customFormat="1" ht="30">
      <c r="A60" s="123" t="s">
        <v>315</v>
      </c>
      <c r="B60" s="28" t="s">
        <v>316</v>
      </c>
      <c r="C60" s="38">
        <f>750000+700000-52338.97</f>
        <v>1397661.03</v>
      </c>
      <c r="D60" s="39"/>
      <c r="E60" s="39">
        <v>0</v>
      </c>
      <c r="F60" s="39">
        <v>737946.63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659714.4</v>
      </c>
      <c r="M60" s="39">
        <v>0</v>
      </c>
      <c r="N60" s="39">
        <v>0</v>
      </c>
      <c r="O60" s="39">
        <v>0</v>
      </c>
      <c r="P60" s="39">
        <v>0</v>
      </c>
      <c r="Q60" s="87">
        <f>SUM(E60:P60)</f>
        <v>1397661.03</v>
      </c>
      <c r="R60" s="88">
        <f>+Q60/C60</f>
        <v>1</v>
      </c>
      <c r="S60" s="87">
        <f>+C60-Q60</f>
        <v>0</v>
      </c>
      <c r="T60" s="88">
        <f>+S60/C60</f>
        <v>0</v>
      </c>
      <c r="U60" s="87">
        <f>+C60+D60-Q60</f>
        <v>0</v>
      </c>
      <c r="V60" s="88">
        <f>+U60/C60</f>
        <v>0</v>
      </c>
      <c r="W60" s="3"/>
      <c r="X60" s="3"/>
      <c r="Y60" s="3"/>
      <c r="Z60" s="3"/>
      <c r="AA60" s="3"/>
      <c r="AB60" s="2"/>
      <c r="AC60" s="2"/>
    </row>
    <row r="61" spans="1:29" s="7" customFormat="1" ht="30">
      <c r="A61" s="96" t="s">
        <v>238</v>
      </c>
      <c r="B61" s="28" t="s">
        <v>239</v>
      </c>
      <c r="C61" s="38">
        <v>0</v>
      </c>
      <c r="D61" s="39"/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87">
        <f t="shared" si="13"/>
        <v>0</v>
      </c>
      <c r="R61" s="88" t="e">
        <f t="shared" si="25"/>
        <v>#DIV/0!</v>
      </c>
      <c r="S61" s="87">
        <f t="shared" si="15"/>
        <v>0</v>
      </c>
      <c r="T61" s="88" t="e">
        <f t="shared" si="16"/>
        <v>#DIV/0!</v>
      </c>
      <c r="U61" s="87">
        <f t="shared" si="17"/>
        <v>0</v>
      </c>
      <c r="V61" s="88" t="e">
        <f t="shared" si="26"/>
        <v>#DIV/0!</v>
      </c>
      <c r="W61" s="3"/>
      <c r="X61" s="3"/>
      <c r="Y61" s="3"/>
      <c r="Z61" s="3"/>
      <c r="AA61" s="3"/>
      <c r="AB61" s="2"/>
      <c r="AC61" s="2"/>
    </row>
    <row r="62" spans="1:29" s="7" customFormat="1" ht="30">
      <c r="A62" s="96" t="s">
        <v>201</v>
      </c>
      <c r="B62" s="28" t="s">
        <v>202</v>
      </c>
      <c r="C62" s="38">
        <v>0</v>
      </c>
      <c r="D62" s="39"/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87">
        <f t="shared" si="13"/>
        <v>0</v>
      </c>
      <c r="R62" s="88" t="e">
        <f t="shared" si="25"/>
        <v>#DIV/0!</v>
      </c>
      <c r="S62" s="87">
        <f t="shared" si="15"/>
        <v>0</v>
      </c>
      <c r="T62" s="88" t="e">
        <f t="shared" si="16"/>
        <v>#DIV/0!</v>
      </c>
      <c r="U62" s="87">
        <f t="shared" si="17"/>
        <v>0</v>
      </c>
      <c r="V62" s="88" t="e">
        <f t="shared" si="26"/>
        <v>#DIV/0!</v>
      </c>
      <c r="W62" s="3"/>
      <c r="X62" s="3"/>
      <c r="Y62" s="3"/>
      <c r="Z62" s="3"/>
      <c r="AA62" s="3"/>
      <c r="AB62" s="2"/>
      <c r="AC62" s="2"/>
    </row>
    <row r="63" spans="1:29" s="7" customFormat="1" ht="30">
      <c r="A63" s="96" t="s">
        <v>90</v>
      </c>
      <c r="B63" s="28" t="s">
        <v>189</v>
      </c>
      <c r="C63" s="38">
        <f>50000+200000+1000000+475947.48</f>
        <v>1725947.48</v>
      </c>
      <c r="D63" s="39"/>
      <c r="E63" s="39">
        <v>3898</v>
      </c>
      <c r="F63" s="39">
        <v>2036</v>
      </c>
      <c r="G63" s="39">
        <v>21638</v>
      </c>
      <c r="H63" s="39">
        <v>20402.2</v>
      </c>
      <c r="I63" s="39">
        <v>179360</v>
      </c>
      <c r="J63" s="39">
        <v>0</v>
      </c>
      <c r="K63" s="39">
        <v>4668</v>
      </c>
      <c r="L63" s="39">
        <v>6257</v>
      </c>
      <c r="M63" s="39">
        <v>991372.28</v>
      </c>
      <c r="N63" s="39">
        <v>40600</v>
      </c>
      <c r="O63" s="39">
        <v>66316</v>
      </c>
      <c r="P63" s="39">
        <v>389400</v>
      </c>
      <c r="Q63" s="87">
        <f>SUM(E63:P63)</f>
        <v>1725947.48</v>
      </c>
      <c r="R63" s="88">
        <f>+Q63/C63</f>
        <v>1</v>
      </c>
      <c r="S63" s="87">
        <f>+C63-Q63</f>
        <v>0</v>
      </c>
      <c r="T63" s="88">
        <f>+S63/C63</f>
        <v>0</v>
      </c>
      <c r="U63" s="87">
        <f>+C63+D63-Q63</f>
        <v>0</v>
      </c>
      <c r="V63" s="88">
        <f>+U63/C63</f>
        <v>0</v>
      </c>
      <c r="W63" s="3"/>
      <c r="X63" s="3"/>
      <c r="Y63" s="3"/>
      <c r="Z63" s="3"/>
      <c r="AA63" s="3"/>
      <c r="AB63" s="2"/>
      <c r="AC63" s="2"/>
    </row>
    <row r="64" spans="1:29" s="11" customFormat="1" ht="45">
      <c r="A64" s="127" t="s">
        <v>333</v>
      </c>
      <c r="B64" s="28" t="s">
        <v>334</v>
      </c>
      <c r="C64" s="38">
        <f>5000-2002.28</f>
        <v>2997.7200000000003</v>
      </c>
      <c r="D64" s="39"/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1498.6</v>
      </c>
      <c r="L64" s="39">
        <v>0</v>
      </c>
      <c r="M64" s="39">
        <v>0</v>
      </c>
      <c r="N64" s="39">
        <v>0</v>
      </c>
      <c r="O64" s="39">
        <v>0</v>
      </c>
      <c r="P64" s="39">
        <v>1498.6</v>
      </c>
      <c r="Q64" s="87">
        <f>SUM(E64:P64)</f>
        <v>2997.2</v>
      </c>
      <c r="R64" s="88">
        <f>+Q64/C64</f>
        <v>0.9998265348331397</v>
      </c>
      <c r="S64" s="87">
        <f>+C64-Q64</f>
        <v>0.5200000000004366</v>
      </c>
      <c r="T64" s="88">
        <f>+S64/C64</f>
        <v>0.00017346516686029265</v>
      </c>
      <c r="U64" s="87">
        <f>+C64+D64-Q64</f>
        <v>0.5200000000004366</v>
      </c>
      <c r="V64" s="88">
        <f>+U64/C64</f>
        <v>0.00017346516686029265</v>
      </c>
      <c r="W64" s="10"/>
      <c r="X64" s="10"/>
      <c r="Y64" s="10"/>
      <c r="Z64" s="10"/>
      <c r="AA64" s="10"/>
      <c r="AB64" s="1"/>
      <c r="AC64" s="1"/>
    </row>
    <row r="65" spans="1:29" s="7" customFormat="1" ht="17.25" customHeight="1" hidden="1">
      <c r="A65" s="96"/>
      <c r="B65" s="24"/>
      <c r="C65" s="39"/>
      <c r="D65" s="39"/>
      <c r="E65" s="39"/>
      <c r="F65" s="39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44">
        <f>SUM(E65:N65)</f>
        <v>0</v>
      </c>
      <c r="R65" s="45" t="e">
        <f t="shared" si="25"/>
        <v>#DIV/0!</v>
      </c>
      <c r="S65" s="46">
        <f t="shared" si="15"/>
        <v>0</v>
      </c>
      <c r="T65" s="47" t="e">
        <f t="shared" si="16"/>
        <v>#DIV/0!</v>
      </c>
      <c r="U65" s="87">
        <f>+C65-Q65</f>
        <v>0</v>
      </c>
      <c r="V65" s="45" t="e">
        <f t="shared" si="26"/>
        <v>#DIV/0!</v>
      </c>
      <c r="W65" s="3"/>
      <c r="X65" s="3"/>
      <c r="Y65" s="3"/>
      <c r="Z65" s="3"/>
      <c r="AA65" s="3"/>
      <c r="AB65" s="2"/>
      <c r="AC65" s="2"/>
    </row>
    <row r="66" spans="1:27" s="2" customFormat="1" ht="30">
      <c r="A66" s="85" t="s">
        <v>37</v>
      </c>
      <c r="B66" s="36" t="s">
        <v>190</v>
      </c>
      <c r="C66" s="66">
        <f>+C67+C69+C70+C71+C72+C73+C74+C75+C76</f>
        <v>24096449.020000003</v>
      </c>
      <c r="D66" s="66">
        <f>+D67+D69+D70+D71+D72+D73+D74+D75+D76</f>
        <v>0</v>
      </c>
      <c r="E66" s="66">
        <f>+E67+E69+E70+E71+E72+E73+E74+E75+E76</f>
        <v>736250.8300000001</v>
      </c>
      <c r="F66" s="66">
        <f>+F67+F69+F70+F71+F72+F73+F74+F75+F76</f>
        <v>2045810.9300000002</v>
      </c>
      <c r="G66" s="66">
        <f>+G67+G72+G73+G74+G75</f>
        <v>6274369.7700000005</v>
      </c>
      <c r="H66" s="66">
        <f>+H67+H69+H70+H71+H72+H73+H74+H75+H76</f>
        <v>974743.41</v>
      </c>
      <c r="I66" s="66">
        <f>+I67+I69+I70+I71+I72+I73+I74+I75+I76</f>
        <v>1549445.3900000001</v>
      </c>
      <c r="J66" s="66">
        <f>+J67+J69+J72+J73+J74+J75+J76</f>
        <v>781171.87</v>
      </c>
      <c r="K66" s="66">
        <f>+K67+K69+K70+K72+K73+K74+K75+K76</f>
        <v>935982.98</v>
      </c>
      <c r="L66" s="66">
        <f>+L67+L69+L70+L72+L73+L74+L75+L76</f>
        <v>1472447.9</v>
      </c>
      <c r="M66" s="66">
        <f>+M67+M68+M69+M70+M71+M72+M73+M74+M75+M76</f>
        <v>1344333.24</v>
      </c>
      <c r="N66" s="66">
        <f>+N67+N68+N69+N70+N71+N72+N73+N74+N75+N76</f>
        <v>4217833.9</v>
      </c>
      <c r="O66" s="66">
        <f>+O67+O69+O70+O71+O72+O73+O74+O75+O76</f>
        <v>1441145.8199999998</v>
      </c>
      <c r="P66" s="66">
        <f>+P67+P69+P70+P71+P72+P73+P74+P75+P76</f>
        <v>2384917.44</v>
      </c>
      <c r="Q66" s="70">
        <f>SUM(E66:P66)</f>
        <v>24158453.480000004</v>
      </c>
      <c r="R66" s="71">
        <f t="shared" si="25"/>
        <v>1.0025731783113991</v>
      </c>
      <c r="S66" s="70">
        <f t="shared" si="15"/>
        <v>-62004.460000000894</v>
      </c>
      <c r="T66" s="71">
        <f t="shared" si="16"/>
        <v>-0.0025731783113992156</v>
      </c>
      <c r="U66" s="89">
        <f>+U67+U69+U70+U71+U72+U73+U74+U75+U76</f>
        <v>0</v>
      </c>
      <c r="V66" s="71">
        <f t="shared" si="26"/>
        <v>0</v>
      </c>
      <c r="W66" s="3"/>
      <c r="X66" s="3"/>
      <c r="Y66" s="3"/>
      <c r="Z66" s="3"/>
      <c r="AA66" s="3"/>
    </row>
    <row r="67" spans="1:27" s="2" customFormat="1" ht="17.25" customHeight="1">
      <c r="A67" s="96" t="s">
        <v>91</v>
      </c>
      <c r="B67" s="37" t="s">
        <v>191</v>
      </c>
      <c r="C67" s="38">
        <f>1000000+2000000+101585.89</f>
        <v>3101585.89</v>
      </c>
      <c r="D67" s="39"/>
      <c r="E67" s="39">
        <v>166297.3</v>
      </c>
      <c r="F67" s="39">
        <v>195816.89</v>
      </c>
      <c r="G67" s="39">
        <v>348442.58</v>
      </c>
      <c r="H67" s="39">
        <v>164999.04</v>
      </c>
      <c r="I67" s="39">
        <f>178694.01+398634.19+93298.79+19266.5</f>
        <v>689893.49</v>
      </c>
      <c r="J67" s="39">
        <v>174863.15</v>
      </c>
      <c r="K67" s="39">
        <v>194645.15</v>
      </c>
      <c r="L67" s="39">
        <v>182033.68</v>
      </c>
      <c r="M67" s="39">
        <v>199902.52</v>
      </c>
      <c r="N67" s="39">
        <v>245559.02</v>
      </c>
      <c r="O67" s="39">
        <v>218519.12</v>
      </c>
      <c r="P67" s="39">
        <v>320613.95</v>
      </c>
      <c r="Q67" s="87">
        <f aca="true" t="shared" si="27" ref="Q67:Q76">SUM(E67:P67)</f>
        <v>3101585.89</v>
      </c>
      <c r="R67" s="88">
        <f t="shared" si="25"/>
        <v>1</v>
      </c>
      <c r="S67" s="87">
        <f t="shared" si="15"/>
        <v>0</v>
      </c>
      <c r="T67" s="88">
        <f t="shared" si="16"/>
        <v>0</v>
      </c>
      <c r="U67" s="87">
        <f aca="true" t="shared" si="28" ref="U67:U76">+C67+D67-Q67</f>
        <v>0</v>
      </c>
      <c r="V67" s="88">
        <f t="shared" si="26"/>
        <v>0</v>
      </c>
      <c r="W67" s="3"/>
      <c r="X67" s="3"/>
      <c r="Y67" s="3"/>
      <c r="Z67" s="3"/>
      <c r="AA67" s="3"/>
    </row>
    <row r="68" spans="1:27" s="2" customFormat="1" ht="17.25" customHeight="1">
      <c r="A68" s="129" t="s">
        <v>340</v>
      </c>
      <c r="B68" s="37" t="s">
        <v>339</v>
      </c>
      <c r="C68" s="38">
        <f>70000-7995.54</f>
        <v>62004.46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62004.46</v>
      </c>
      <c r="N68" s="39">
        <v>0</v>
      </c>
      <c r="O68" s="39"/>
      <c r="P68" s="39">
        <v>0</v>
      </c>
      <c r="Q68" s="87">
        <f>SUM(E68:P68)</f>
        <v>62004.46</v>
      </c>
      <c r="R68" s="88">
        <f>+Q68/C68</f>
        <v>1</v>
      </c>
      <c r="S68" s="87">
        <f>+C68-Q68</f>
        <v>0</v>
      </c>
      <c r="T68" s="88">
        <f>+S68/C68</f>
        <v>0</v>
      </c>
      <c r="U68" s="87">
        <f>+C68+D68-Q68</f>
        <v>0</v>
      </c>
      <c r="V68" s="88">
        <f>+U68/C68</f>
        <v>0</v>
      </c>
      <c r="W68" s="3"/>
      <c r="X68" s="3"/>
      <c r="Y68" s="3"/>
      <c r="Z68" s="3"/>
      <c r="AA68" s="3"/>
    </row>
    <row r="69" spans="1:27" s="2" customFormat="1" ht="17.25" customHeight="1">
      <c r="A69" s="96" t="s">
        <v>240</v>
      </c>
      <c r="B69" s="37" t="s">
        <v>241</v>
      </c>
      <c r="C69" s="38">
        <f>200000+192938</f>
        <v>392938</v>
      </c>
      <c r="D69" s="39"/>
      <c r="E69" s="39">
        <v>0</v>
      </c>
      <c r="F69" s="39">
        <v>0</v>
      </c>
      <c r="G69" s="39">
        <v>0</v>
      </c>
      <c r="H69" s="39">
        <v>197828</v>
      </c>
      <c r="I69" s="39">
        <v>0</v>
      </c>
      <c r="J69" s="39">
        <v>0</v>
      </c>
      <c r="K69" s="39">
        <v>0</v>
      </c>
      <c r="L69" s="39">
        <v>0</v>
      </c>
      <c r="M69" s="39">
        <v>1000</v>
      </c>
      <c r="N69" s="39">
        <v>0</v>
      </c>
      <c r="O69" s="39">
        <v>194110</v>
      </c>
      <c r="P69" s="39">
        <v>0</v>
      </c>
      <c r="Q69" s="87">
        <f t="shared" si="27"/>
        <v>392938</v>
      </c>
      <c r="R69" s="88">
        <f t="shared" si="25"/>
        <v>1</v>
      </c>
      <c r="S69" s="87">
        <f t="shared" si="15"/>
        <v>0</v>
      </c>
      <c r="T69" s="88">
        <f t="shared" si="16"/>
        <v>0</v>
      </c>
      <c r="U69" s="87">
        <f t="shared" si="28"/>
        <v>0</v>
      </c>
      <c r="V69" s="88">
        <f t="shared" si="26"/>
        <v>0</v>
      </c>
      <c r="W69" s="3"/>
      <c r="X69" s="3"/>
      <c r="Y69" s="3"/>
      <c r="Z69" s="3"/>
      <c r="AA69" s="3"/>
    </row>
    <row r="70" spans="1:27" s="2" customFormat="1" ht="17.25" customHeight="1">
      <c r="A70" s="109" t="s">
        <v>287</v>
      </c>
      <c r="B70" s="37" t="s">
        <v>286</v>
      </c>
      <c r="C70" s="38">
        <f>2000000+350000+973234</f>
        <v>3323234</v>
      </c>
      <c r="D70" s="39"/>
      <c r="E70" s="39">
        <v>0</v>
      </c>
      <c r="F70" s="39">
        <v>1077340</v>
      </c>
      <c r="G70" s="39">
        <v>0</v>
      </c>
      <c r="H70" s="39">
        <v>12154</v>
      </c>
      <c r="I70" s="39">
        <v>769655</v>
      </c>
      <c r="J70" s="39">
        <v>0</v>
      </c>
      <c r="K70" s="39">
        <v>0</v>
      </c>
      <c r="L70" s="39">
        <v>456070</v>
      </c>
      <c r="M70" s="39">
        <v>0</v>
      </c>
      <c r="N70" s="39">
        <v>0</v>
      </c>
      <c r="O70" s="39">
        <v>0</v>
      </c>
      <c r="P70" s="39">
        <v>1008015</v>
      </c>
      <c r="Q70" s="87">
        <f t="shared" si="27"/>
        <v>3323234</v>
      </c>
      <c r="R70" s="88">
        <f>+Q70/(C70+D70)</f>
        <v>1</v>
      </c>
      <c r="S70" s="87">
        <f>+C70-Q70</f>
        <v>0</v>
      </c>
      <c r="T70" s="88">
        <f>+S70/C70</f>
        <v>0</v>
      </c>
      <c r="U70" s="87">
        <f t="shared" si="28"/>
        <v>0</v>
      </c>
      <c r="V70" s="88">
        <f>+U70/(C70+D70)</f>
        <v>0</v>
      </c>
      <c r="W70" s="3"/>
      <c r="X70" s="3"/>
      <c r="Y70" s="3"/>
      <c r="Z70" s="3"/>
      <c r="AA70" s="3"/>
    </row>
    <row r="71" spans="1:27" s="2" customFormat="1" ht="17.25" customHeight="1">
      <c r="A71" s="112" t="s">
        <v>305</v>
      </c>
      <c r="B71" s="28" t="s">
        <v>306</v>
      </c>
      <c r="C71" s="38">
        <v>1000000</v>
      </c>
      <c r="D71" s="39"/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1000000</v>
      </c>
      <c r="O71" s="39">
        <v>0</v>
      </c>
      <c r="P71" s="39">
        <v>0</v>
      </c>
      <c r="Q71" s="87">
        <f t="shared" si="27"/>
        <v>1000000</v>
      </c>
      <c r="R71" s="88">
        <f>+Q71/(C71+D71)</f>
        <v>1</v>
      </c>
      <c r="S71" s="87">
        <f>+C71-Q71</f>
        <v>0</v>
      </c>
      <c r="T71" s="88">
        <f>+S71/C71</f>
        <v>0</v>
      </c>
      <c r="U71" s="87">
        <f t="shared" si="28"/>
        <v>0</v>
      </c>
      <c r="V71" s="88">
        <f>+U71/C71</f>
        <v>0</v>
      </c>
      <c r="W71" s="3"/>
      <c r="X71" s="3"/>
      <c r="Y71" s="3"/>
      <c r="Z71" s="3"/>
      <c r="AA71" s="3"/>
    </row>
    <row r="72" spans="1:27" s="2" customFormat="1" ht="15">
      <c r="A72" s="96" t="s">
        <v>224</v>
      </c>
      <c r="B72" s="28" t="s">
        <v>225</v>
      </c>
      <c r="C72" s="38">
        <f>40000+90000+80000-5350</f>
        <v>204650</v>
      </c>
      <c r="D72" s="39"/>
      <c r="E72" s="39">
        <v>0</v>
      </c>
      <c r="F72" s="39">
        <v>0</v>
      </c>
      <c r="G72" s="39">
        <v>0</v>
      </c>
      <c r="H72" s="39">
        <v>16650</v>
      </c>
      <c r="I72" s="39">
        <v>0</v>
      </c>
      <c r="J72" s="39">
        <v>0</v>
      </c>
      <c r="K72" s="39">
        <v>0</v>
      </c>
      <c r="L72" s="39">
        <v>108000</v>
      </c>
      <c r="M72" s="39">
        <v>80000</v>
      </c>
      <c r="N72" s="39">
        <v>0</v>
      </c>
      <c r="O72" s="39">
        <v>0</v>
      </c>
      <c r="P72" s="39">
        <v>0</v>
      </c>
      <c r="Q72" s="87">
        <f t="shared" si="27"/>
        <v>204650</v>
      </c>
      <c r="R72" s="88">
        <f aca="true" t="shared" si="29" ref="R72:R77">+Q72/C72</f>
        <v>1</v>
      </c>
      <c r="S72" s="87">
        <f aca="true" t="shared" si="30" ref="S72:S77">+C72-Q72</f>
        <v>0</v>
      </c>
      <c r="T72" s="88">
        <f aca="true" t="shared" si="31" ref="T72:T77">+S72/C72</f>
        <v>0</v>
      </c>
      <c r="U72" s="87">
        <f t="shared" si="28"/>
        <v>0</v>
      </c>
      <c r="V72" s="88">
        <f aca="true" t="shared" si="32" ref="V72:V80">+U72/C72</f>
        <v>0</v>
      </c>
      <c r="W72" s="3"/>
      <c r="X72" s="3"/>
      <c r="Y72" s="3"/>
      <c r="Z72" s="3"/>
      <c r="AA72" s="3"/>
    </row>
    <row r="73" spans="1:27" s="2" customFormat="1" ht="33.75" customHeight="1">
      <c r="A73" s="96" t="s">
        <v>203</v>
      </c>
      <c r="B73" s="28" t="s">
        <v>204</v>
      </c>
      <c r="C73" s="38">
        <f>6000*12</f>
        <v>72000</v>
      </c>
      <c r="D73" s="39"/>
      <c r="E73" s="39">
        <v>6000</v>
      </c>
      <c r="F73" s="39">
        <v>6000</v>
      </c>
      <c r="G73" s="39">
        <v>6000</v>
      </c>
      <c r="H73" s="39">
        <v>6000</v>
      </c>
      <c r="I73" s="39">
        <v>6000</v>
      </c>
      <c r="J73" s="39">
        <v>6000</v>
      </c>
      <c r="K73" s="39">
        <v>6000</v>
      </c>
      <c r="L73" s="39">
        <v>6000</v>
      </c>
      <c r="M73" s="39">
        <v>6000</v>
      </c>
      <c r="N73" s="39">
        <v>6000</v>
      </c>
      <c r="O73" s="39">
        <v>6000</v>
      </c>
      <c r="P73" s="39">
        <v>6000</v>
      </c>
      <c r="Q73" s="87">
        <f t="shared" si="27"/>
        <v>72000</v>
      </c>
      <c r="R73" s="88">
        <f t="shared" si="29"/>
        <v>1</v>
      </c>
      <c r="S73" s="87">
        <f t="shared" si="30"/>
        <v>0</v>
      </c>
      <c r="T73" s="88">
        <f t="shared" si="31"/>
        <v>0</v>
      </c>
      <c r="U73" s="87">
        <f t="shared" si="28"/>
        <v>0</v>
      </c>
      <c r="V73" s="88">
        <f t="shared" si="32"/>
        <v>0</v>
      </c>
      <c r="W73" s="3"/>
      <c r="X73" s="3"/>
      <c r="Y73" s="3"/>
      <c r="Z73" s="3"/>
      <c r="AA73" s="3"/>
    </row>
    <row r="74" spans="1:27" s="2" customFormat="1" ht="17.25" customHeight="1">
      <c r="A74" s="96" t="s">
        <v>92</v>
      </c>
      <c r="B74" s="24" t="s">
        <v>192</v>
      </c>
      <c r="C74" s="39">
        <v>0</v>
      </c>
      <c r="D74" s="39"/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/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87">
        <f t="shared" si="27"/>
        <v>0</v>
      </c>
      <c r="R74" s="88" t="e">
        <f t="shared" si="29"/>
        <v>#DIV/0!</v>
      </c>
      <c r="S74" s="87">
        <f t="shared" si="30"/>
        <v>0</v>
      </c>
      <c r="T74" s="88" t="e">
        <f t="shared" si="31"/>
        <v>#DIV/0!</v>
      </c>
      <c r="U74" s="87">
        <f t="shared" si="28"/>
        <v>0</v>
      </c>
      <c r="V74" s="88" t="e">
        <f t="shared" si="32"/>
        <v>#DIV/0!</v>
      </c>
      <c r="W74" s="3"/>
      <c r="X74" s="3"/>
      <c r="Y74" s="3"/>
      <c r="Z74" s="3"/>
      <c r="AA74" s="3"/>
    </row>
    <row r="75" spans="1:27" s="2" customFormat="1" ht="15">
      <c r="A75" s="96" t="s">
        <v>111</v>
      </c>
      <c r="B75" s="24" t="s">
        <v>112</v>
      </c>
      <c r="C75" s="39">
        <f>1500000+14109594.41-0.31</f>
        <v>15609594.1</v>
      </c>
      <c r="D75" s="39"/>
      <c r="E75" s="39">
        <f>436353.45+111100.08+16500</f>
        <v>563953.53</v>
      </c>
      <c r="F75" s="39">
        <f>613213.78+133640.26+19800</f>
        <v>766654.04</v>
      </c>
      <c r="G75" s="39">
        <f>49302+5750015.69+96393+24216.5</f>
        <v>5919927.19</v>
      </c>
      <c r="H75" s="39">
        <v>577112.37</v>
      </c>
      <c r="I75" s="39">
        <v>18995.87</v>
      </c>
      <c r="J75" s="39">
        <v>600308.72</v>
      </c>
      <c r="K75" s="39">
        <v>735337.83</v>
      </c>
      <c r="L75" s="39">
        <v>720344.22</v>
      </c>
      <c r="M75" s="39">
        <f>856506.94+120509.82+18409.5</f>
        <v>995426.26</v>
      </c>
      <c r="N75" s="39">
        <f>168831.32+2620058.99+158975.07+18409.5</f>
        <v>2966274.88</v>
      </c>
      <c r="O75" s="39">
        <v>1022516.7</v>
      </c>
      <c r="P75" s="39">
        <v>722742.49</v>
      </c>
      <c r="Q75" s="87">
        <f t="shared" si="27"/>
        <v>15609594.1</v>
      </c>
      <c r="R75" s="88">
        <f t="shared" si="29"/>
        <v>1</v>
      </c>
      <c r="S75" s="87">
        <f t="shared" si="30"/>
        <v>0</v>
      </c>
      <c r="T75" s="88">
        <f t="shared" si="31"/>
        <v>0</v>
      </c>
      <c r="U75" s="87">
        <f t="shared" si="28"/>
        <v>0</v>
      </c>
      <c r="V75" s="88">
        <f t="shared" si="32"/>
        <v>0</v>
      </c>
      <c r="W75" s="3"/>
      <c r="X75" s="3"/>
      <c r="Y75" s="3"/>
      <c r="Z75" s="3"/>
      <c r="AA75" s="3"/>
    </row>
    <row r="76" spans="1:27" s="2" customFormat="1" ht="30">
      <c r="A76" s="103" t="s">
        <v>277</v>
      </c>
      <c r="B76" s="24" t="s">
        <v>278</v>
      </c>
      <c r="C76" s="39">
        <f>100000+292447.03</f>
        <v>392447.03</v>
      </c>
      <c r="D76" s="39"/>
      <c r="E76" s="39">
        <v>0</v>
      </c>
      <c r="F76" s="39">
        <v>0</v>
      </c>
      <c r="G76" s="39">
        <v>0</v>
      </c>
      <c r="H76" s="39">
        <v>0</v>
      </c>
      <c r="I76" s="39">
        <v>64901.03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327546</v>
      </c>
      <c r="Q76" s="87">
        <f t="shared" si="27"/>
        <v>392447.03</v>
      </c>
      <c r="R76" s="88">
        <f t="shared" si="29"/>
        <v>1</v>
      </c>
      <c r="S76" s="87">
        <f t="shared" si="30"/>
        <v>0</v>
      </c>
      <c r="T76" s="88">
        <f t="shared" si="31"/>
        <v>0</v>
      </c>
      <c r="U76" s="87">
        <f t="shared" si="28"/>
        <v>0</v>
      </c>
      <c r="V76" s="88">
        <f>+U79/C76</f>
        <v>0</v>
      </c>
      <c r="W76" s="3"/>
      <c r="X76" s="3"/>
      <c r="Y76" s="3"/>
      <c r="Z76" s="3"/>
      <c r="AA76" s="3"/>
    </row>
    <row r="77" spans="1:28" ht="15">
      <c r="A77" s="20" t="s">
        <v>181</v>
      </c>
      <c r="B77" s="8" t="s">
        <v>193</v>
      </c>
      <c r="C77" s="66">
        <f>+C79+C80</f>
        <v>33378349</v>
      </c>
      <c r="D77" s="66">
        <f>+D79+D80</f>
        <v>26176891</v>
      </c>
      <c r="E77" s="66">
        <f aca="true" t="shared" si="33" ref="E77:K77">+E79+E80</f>
        <v>3378349</v>
      </c>
      <c r="F77" s="66">
        <f t="shared" si="33"/>
        <v>3053736</v>
      </c>
      <c r="G77" s="66">
        <f t="shared" si="33"/>
        <v>3411798</v>
      </c>
      <c r="H77" s="66">
        <f>+H79+H80</f>
        <v>3276840</v>
      </c>
      <c r="I77" s="66">
        <f t="shared" si="33"/>
        <v>3380922</v>
      </c>
      <c r="J77" s="66">
        <f t="shared" si="33"/>
        <v>3631360</v>
      </c>
      <c r="K77" s="66">
        <f t="shared" si="33"/>
        <v>13695110</v>
      </c>
      <c r="L77" s="66">
        <f>+L79+L80</f>
        <v>5126625</v>
      </c>
      <c r="M77" s="66">
        <f>+M79+M80</f>
        <v>4965000</v>
      </c>
      <c r="N77" s="66">
        <f>+N79+N80</f>
        <v>5219625</v>
      </c>
      <c r="O77" s="66">
        <f>+O79+O80</f>
        <v>5118750</v>
      </c>
      <c r="P77" s="66">
        <f>+P79+P80</f>
        <v>5297125</v>
      </c>
      <c r="Q77" s="70">
        <f>SUM(E77:P78)</f>
        <v>59555240</v>
      </c>
      <c r="R77" s="71">
        <f t="shared" si="29"/>
        <v>1.7842476271070207</v>
      </c>
      <c r="S77" s="70">
        <f t="shared" si="30"/>
        <v>-26176891</v>
      </c>
      <c r="T77" s="71">
        <f t="shared" si="31"/>
        <v>-0.7842476271070208</v>
      </c>
      <c r="U77" s="89">
        <f>+U79+U80</f>
        <v>0</v>
      </c>
      <c r="V77" s="71">
        <f t="shared" si="32"/>
        <v>0</v>
      </c>
      <c r="W77" s="3"/>
      <c r="X77" s="3"/>
      <c r="Y77" s="3"/>
      <c r="Z77" s="3"/>
      <c r="AA77" s="3"/>
      <c r="AB77" s="2"/>
    </row>
    <row r="78" spans="1:28" ht="17.25" customHeight="1" hidden="1">
      <c r="A78" s="92" t="s">
        <v>38</v>
      </c>
      <c r="B78" s="9" t="s">
        <v>39</v>
      </c>
      <c r="C78" s="39">
        <v>0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52"/>
      <c r="R78" s="52"/>
      <c r="S78" s="50">
        <v>0</v>
      </c>
      <c r="T78" s="50"/>
      <c r="U78" s="87"/>
      <c r="V78" s="52"/>
      <c r="W78" s="3"/>
      <c r="X78" s="3"/>
      <c r="Y78" s="3"/>
      <c r="Z78" s="3"/>
      <c r="AA78" s="3"/>
      <c r="AB78" s="2"/>
    </row>
    <row r="79" spans="1:28" ht="17.25" customHeight="1">
      <c r="A79" s="107" t="s">
        <v>113</v>
      </c>
      <c r="B79" s="23" t="s">
        <v>147</v>
      </c>
      <c r="C79" s="38">
        <f>3378349+30000000</f>
        <v>33378349</v>
      </c>
      <c r="D79" s="39">
        <f>20597500+5579391</f>
        <v>26176891</v>
      </c>
      <c r="E79" s="39">
        <v>3378349</v>
      </c>
      <c r="F79" s="39">
        <v>3053736</v>
      </c>
      <c r="G79" s="39">
        <v>3411798</v>
      </c>
      <c r="H79" s="39">
        <v>3276840</v>
      </c>
      <c r="I79" s="39">
        <v>3380922</v>
      </c>
      <c r="J79" s="39">
        <v>3631360</v>
      </c>
      <c r="K79" s="39">
        <v>13695110</v>
      </c>
      <c r="L79" s="39">
        <v>5126625</v>
      </c>
      <c r="M79" s="39">
        <v>4965000</v>
      </c>
      <c r="N79" s="39">
        <v>5219625</v>
      </c>
      <c r="O79" s="39">
        <v>5118750</v>
      </c>
      <c r="P79" s="39">
        <v>5297125</v>
      </c>
      <c r="Q79" s="87">
        <f>SUM(E79:P79)</f>
        <v>59555240</v>
      </c>
      <c r="R79" s="88">
        <f>+Q79/C79</f>
        <v>1.7842476271070207</v>
      </c>
      <c r="S79" s="87">
        <f>+C79-Q79</f>
        <v>-26176891</v>
      </c>
      <c r="T79" s="88">
        <f>+S79/C79</f>
        <v>-0.7842476271070208</v>
      </c>
      <c r="U79" s="87">
        <f>+C79+D79-Q79</f>
        <v>0</v>
      </c>
      <c r="V79" s="88">
        <f t="shared" si="32"/>
        <v>0</v>
      </c>
      <c r="W79" s="3"/>
      <c r="X79" s="3"/>
      <c r="Y79" s="3"/>
      <c r="Z79" s="3"/>
      <c r="AA79" s="3"/>
      <c r="AB79" s="2"/>
    </row>
    <row r="80" spans="1:28" s="3" customFormat="1" ht="15">
      <c r="A80" s="111" t="s">
        <v>293</v>
      </c>
      <c r="B80" s="23" t="s">
        <v>294</v>
      </c>
      <c r="C80" s="38">
        <v>0</v>
      </c>
      <c r="D80" s="39"/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87">
        <f>SUM(E80:P80)</f>
        <v>0</v>
      </c>
      <c r="R80" s="88" t="e">
        <f>+Q80/C80</f>
        <v>#DIV/0!</v>
      </c>
      <c r="S80" s="87">
        <f>+C80-Q80</f>
        <v>0</v>
      </c>
      <c r="T80" s="88" t="e">
        <f>+S80/C80</f>
        <v>#DIV/0!</v>
      </c>
      <c r="U80" s="87">
        <f>+C80-Q80</f>
        <v>0</v>
      </c>
      <c r="V80" s="88" t="e">
        <f t="shared" si="32"/>
        <v>#DIV/0!</v>
      </c>
      <c r="AB80" s="2"/>
    </row>
    <row r="81" spans="1:28" s="3" customFormat="1" ht="17.25" customHeight="1" hidden="1">
      <c r="A81" s="25" t="s">
        <v>40</v>
      </c>
      <c r="B81" s="27" t="s">
        <v>41</v>
      </c>
      <c r="C81" s="39">
        <v>0</v>
      </c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52"/>
      <c r="R81" s="52"/>
      <c r="S81" s="50">
        <v>0</v>
      </c>
      <c r="T81" s="50"/>
      <c r="U81" s="87"/>
      <c r="V81" s="52"/>
      <c r="AB81" s="2"/>
    </row>
    <row r="82" spans="1:28" s="3" customFormat="1" ht="15">
      <c r="A82" s="20" t="s">
        <v>42</v>
      </c>
      <c r="B82" s="8" t="s">
        <v>267</v>
      </c>
      <c r="C82" s="66">
        <f>+C83+C90+C91+C92</f>
        <v>5304115.87</v>
      </c>
      <c r="D82" s="66">
        <f>+D83+D90+D92</f>
        <v>0</v>
      </c>
      <c r="E82" s="66">
        <f>+E83+E90+E91+E92</f>
        <v>1300</v>
      </c>
      <c r="F82" s="66">
        <f>+F83+F90+F92</f>
        <v>0</v>
      </c>
      <c r="G82" s="66">
        <f>+G83+G90+G92</f>
        <v>0</v>
      </c>
      <c r="H82" s="66">
        <f>+H83+H90+H92</f>
        <v>0</v>
      </c>
      <c r="I82" s="66">
        <f>+I83+I90+I92</f>
        <v>0</v>
      </c>
      <c r="J82" s="66">
        <f>SUM(J83:J83)</f>
        <v>1381</v>
      </c>
      <c r="K82" s="66">
        <f>+K83+K90+K91+K92</f>
        <v>2205429.95</v>
      </c>
      <c r="L82" s="66">
        <f>+L83+L90+L91+L92</f>
        <v>882887.8</v>
      </c>
      <c r="M82" s="66">
        <f>+M83+M90+M92</f>
        <v>441324.99</v>
      </c>
      <c r="N82" s="66">
        <f>+N83+N90+N91+N92</f>
        <v>447869</v>
      </c>
      <c r="O82" s="66">
        <f>+O83+O90+O91+O92</f>
        <v>224.09</v>
      </c>
      <c r="P82" s="66">
        <f>+P83+P90+P91+P92</f>
        <v>441649.04</v>
      </c>
      <c r="Q82" s="70">
        <f>SUM(E82:P82)</f>
        <v>4422065.87</v>
      </c>
      <c r="R82" s="71">
        <f>+Q82/C82</f>
        <v>0.8337046132440542</v>
      </c>
      <c r="S82" s="70">
        <f>+C82-Q82</f>
        <v>882050</v>
      </c>
      <c r="T82" s="71">
        <f>+S82/C82</f>
        <v>0.1662953867559458</v>
      </c>
      <c r="U82" s="89">
        <f>+U83+U90+U91+U92</f>
        <v>882050</v>
      </c>
      <c r="V82" s="68">
        <f>+U82/C82</f>
        <v>0.1662953867559458</v>
      </c>
      <c r="AB82" s="2"/>
    </row>
    <row r="83" spans="1:28" s="3" customFormat="1" ht="15">
      <c r="A83" s="115" t="s">
        <v>114</v>
      </c>
      <c r="B83" s="22" t="s">
        <v>137</v>
      </c>
      <c r="C83" s="38">
        <f>15000-11328.13</f>
        <v>3671.870000000001</v>
      </c>
      <c r="D83" s="39"/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1381</v>
      </c>
      <c r="K83" s="39">
        <v>304.95</v>
      </c>
      <c r="L83" s="39">
        <v>837.8</v>
      </c>
      <c r="M83" s="39">
        <v>299.99</v>
      </c>
      <c r="N83" s="39">
        <v>0</v>
      </c>
      <c r="O83" s="39">
        <v>224.09</v>
      </c>
      <c r="P83" s="39">
        <v>624.04</v>
      </c>
      <c r="Q83" s="87">
        <f aca="true" t="shared" si="34" ref="Q83:Q116">SUM(E83:P83)</f>
        <v>3671.87</v>
      </c>
      <c r="R83" s="88">
        <f>+Q83/C83</f>
        <v>0.9999999999999998</v>
      </c>
      <c r="S83" s="87">
        <f>+C83-Q83</f>
        <v>0</v>
      </c>
      <c r="T83" s="88">
        <f>+S83/C83</f>
        <v>0</v>
      </c>
      <c r="U83" s="87">
        <f>+C83+D83-Q83</f>
        <v>0</v>
      </c>
      <c r="V83" s="88">
        <f>+U83/C83</f>
        <v>0</v>
      </c>
      <c r="AB83" s="2"/>
    </row>
    <row r="84" spans="1:28" s="3" customFormat="1" ht="17.25" customHeight="1" hidden="1">
      <c r="A84" s="97" t="s">
        <v>94</v>
      </c>
      <c r="B84" s="23" t="s">
        <v>44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87">
        <f t="shared" si="34"/>
        <v>0</v>
      </c>
      <c r="R84" s="88" t="e">
        <f>+Q84/C84</f>
        <v>#DIV/0!</v>
      </c>
      <c r="S84" s="87">
        <f>+C84-Q84</f>
        <v>0</v>
      </c>
      <c r="T84" s="88" t="e">
        <f>+S84/C84</f>
        <v>#DIV/0!</v>
      </c>
      <c r="U84" s="87">
        <f aca="true" t="shared" si="35" ref="U84:U89">+C81+D81-Q81</f>
        <v>0</v>
      </c>
      <c r="V84" s="88" t="e">
        <f>+U84/#REF!</f>
        <v>#REF!</v>
      </c>
      <c r="AB84" s="2"/>
    </row>
    <row r="85" spans="1:28" s="12" customFormat="1" ht="17.25" customHeight="1" hidden="1">
      <c r="A85" s="20" t="s">
        <v>45</v>
      </c>
      <c r="B85" s="8" t="s">
        <v>46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87">
        <f t="shared" si="34"/>
        <v>0</v>
      </c>
      <c r="R85" s="87"/>
      <c r="S85" s="87"/>
      <c r="T85" s="87"/>
      <c r="U85" s="87">
        <f t="shared" si="35"/>
        <v>882050</v>
      </c>
      <c r="V85" s="87"/>
      <c r="W85" s="1"/>
      <c r="X85" s="1"/>
      <c r="Y85" s="1"/>
      <c r="Z85" s="1"/>
      <c r="AA85" s="1"/>
      <c r="AB85" s="1"/>
    </row>
    <row r="86" spans="1:28" s="10" customFormat="1" ht="17.25" customHeight="1" hidden="1">
      <c r="A86" s="92" t="s">
        <v>47</v>
      </c>
      <c r="B86" s="9" t="s">
        <v>48</v>
      </c>
      <c r="C86" s="48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87">
        <f t="shared" si="34"/>
        <v>0</v>
      </c>
      <c r="R86" s="87"/>
      <c r="S86" s="89">
        <v>0</v>
      </c>
      <c r="T86" s="89"/>
      <c r="U86" s="87">
        <f t="shared" si="35"/>
        <v>0</v>
      </c>
      <c r="V86" s="87"/>
      <c r="W86" s="1"/>
      <c r="X86" s="1"/>
      <c r="Y86" s="1"/>
      <c r="Z86" s="1"/>
      <c r="AA86" s="1"/>
      <c r="AB86" s="1"/>
    </row>
    <row r="87" spans="1:28" s="3" customFormat="1" ht="17.25" customHeight="1" hidden="1">
      <c r="A87" s="92" t="s">
        <v>49</v>
      </c>
      <c r="B87" s="9" t="s">
        <v>50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87">
        <f t="shared" si="34"/>
        <v>0</v>
      </c>
      <c r="R87" s="87"/>
      <c r="S87" s="87"/>
      <c r="T87" s="87"/>
      <c r="U87" s="87">
        <f t="shared" si="35"/>
        <v>0</v>
      </c>
      <c r="V87" s="87"/>
      <c r="W87" s="1"/>
      <c r="X87" s="1"/>
      <c r="Y87" s="1"/>
      <c r="Z87" s="1"/>
      <c r="AA87" s="1"/>
      <c r="AB87" s="1"/>
    </row>
    <row r="88" spans="1:28" s="10" customFormat="1" ht="17.25" customHeight="1" hidden="1">
      <c r="A88" s="92" t="s">
        <v>51</v>
      </c>
      <c r="B88" s="9" t="s">
        <v>52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87">
        <f t="shared" si="34"/>
        <v>0</v>
      </c>
      <c r="R88" s="87"/>
      <c r="S88" s="87"/>
      <c r="T88" s="87"/>
      <c r="U88" s="87">
        <f t="shared" si="35"/>
        <v>0</v>
      </c>
      <c r="V88" s="87"/>
      <c r="W88" s="1"/>
      <c r="X88" s="1"/>
      <c r="Y88" s="1"/>
      <c r="Z88" s="1"/>
      <c r="AA88" s="1"/>
      <c r="AB88" s="1"/>
    </row>
    <row r="89" spans="1:28" s="10" customFormat="1" ht="69" customHeight="1" hidden="1">
      <c r="A89" s="92" t="s">
        <v>53</v>
      </c>
      <c r="B89" s="9" t="s">
        <v>54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87">
        <f t="shared" si="34"/>
        <v>0</v>
      </c>
      <c r="R89" s="87"/>
      <c r="S89" s="87"/>
      <c r="T89" s="87"/>
      <c r="U89" s="87">
        <f t="shared" si="35"/>
        <v>0</v>
      </c>
      <c r="V89" s="87"/>
      <c r="W89" s="1"/>
      <c r="X89" s="1"/>
      <c r="Y89" s="1"/>
      <c r="Z89" s="1"/>
      <c r="AA89" s="1"/>
      <c r="AB89" s="1"/>
    </row>
    <row r="90" spans="1:28" s="10" customFormat="1" ht="15">
      <c r="A90" s="92" t="s">
        <v>93</v>
      </c>
      <c r="B90" s="9" t="s">
        <v>43</v>
      </c>
      <c r="C90" s="39">
        <f>435000*12+72300</f>
        <v>5292300</v>
      </c>
      <c r="D90" s="39"/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2205125</v>
      </c>
      <c r="L90" s="39">
        <v>882050</v>
      </c>
      <c r="M90" s="39">
        <v>441025</v>
      </c>
      <c r="N90" s="39">
        <v>441025</v>
      </c>
      <c r="O90" s="39">
        <v>0</v>
      </c>
      <c r="P90" s="39">
        <v>441025</v>
      </c>
      <c r="Q90" s="87">
        <f t="shared" si="34"/>
        <v>4410250</v>
      </c>
      <c r="R90" s="88">
        <f>+Q90/C90</f>
        <v>0.8333333333333334</v>
      </c>
      <c r="S90" s="87">
        <f aca="true" t="shared" si="36" ref="S90:S116">+C90-Q90</f>
        <v>882050</v>
      </c>
      <c r="T90" s="88">
        <f aca="true" t="shared" si="37" ref="T90:T116">+S90/C90</f>
        <v>0.16666666666666666</v>
      </c>
      <c r="U90" s="87">
        <f aca="true" t="shared" si="38" ref="U90:U116">+C90+D90-Q90</f>
        <v>882050</v>
      </c>
      <c r="V90" s="88">
        <f aca="true" t="shared" si="39" ref="V90:V96">+U90/C90</f>
        <v>0.16666666666666666</v>
      </c>
      <c r="W90" s="1"/>
      <c r="X90" s="1"/>
      <c r="Y90" s="1"/>
      <c r="Z90" s="1"/>
      <c r="AA90" s="1"/>
      <c r="AB90" s="1"/>
    </row>
    <row r="91" spans="1:28" s="10" customFormat="1" ht="15">
      <c r="A91" s="113" t="s">
        <v>301</v>
      </c>
      <c r="B91" s="9" t="s">
        <v>302</v>
      </c>
      <c r="C91" s="39">
        <f>120000*12-1438700</f>
        <v>1300</v>
      </c>
      <c r="D91" s="39"/>
      <c r="E91" s="39">
        <v>1300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39">
        <v>0</v>
      </c>
      <c r="P91" s="39">
        <v>0</v>
      </c>
      <c r="Q91" s="87">
        <f t="shared" si="34"/>
        <v>1300</v>
      </c>
      <c r="R91" s="88">
        <f>+Q91/C91</f>
        <v>1</v>
      </c>
      <c r="S91" s="87">
        <f>+C91-Q91</f>
        <v>0</v>
      </c>
      <c r="T91" s="88">
        <f>+S91/C91</f>
        <v>0</v>
      </c>
      <c r="U91" s="87">
        <f t="shared" si="38"/>
        <v>0</v>
      </c>
      <c r="V91" s="88">
        <f t="shared" si="39"/>
        <v>0</v>
      </c>
      <c r="W91" s="1"/>
      <c r="X91" s="1"/>
      <c r="Y91" s="1"/>
      <c r="Z91" s="1"/>
      <c r="AA91" s="1"/>
      <c r="AB91" s="1"/>
    </row>
    <row r="92" spans="1:28" s="10" customFormat="1" ht="15">
      <c r="A92" s="92" t="s">
        <v>94</v>
      </c>
      <c r="B92" s="9" t="s">
        <v>205</v>
      </c>
      <c r="C92" s="39">
        <v>6844</v>
      </c>
      <c r="D92" s="39"/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6844</v>
      </c>
      <c r="O92" s="39">
        <v>0</v>
      </c>
      <c r="P92" s="39">
        <v>0</v>
      </c>
      <c r="Q92" s="87">
        <f t="shared" si="34"/>
        <v>6844</v>
      </c>
      <c r="R92" s="88">
        <f>+Q92/C92</f>
        <v>1</v>
      </c>
      <c r="S92" s="87">
        <f t="shared" si="36"/>
        <v>0</v>
      </c>
      <c r="T92" s="88">
        <f t="shared" si="37"/>
        <v>0</v>
      </c>
      <c r="U92" s="87">
        <f t="shared" si="38"/>
        <v>0</v>
      </c>
      <c r="V92" s="88">
        <f t="shared" si="39"/>
        <v>0</v>
      </c>
      <c r="W92" s="1"/>
      <c r="X92" s="1"/>
      <c r="Y92" s="1"/>
      <c r="Z92" s="1"/>
      <c r="AA92" s="1"/>
      <c r="AB92" s="1"/>
    </row>
    <row r="93" spans="1:22" s="13" customFormat="1" ht="15">
      <c r="A93" s="20" t="s">
        <v>45</v>
      </c>
      <c r="B93" s="8" t="s">
        <v>194</v>
      </c>
      <c r="C93" s="66">
        <f>+C94+C95+C96+C97</f>
        <v>2021594.01</v>
      </c>
      <c r="D93" s="66">
        <f>+D94+D95+D96+D97</f>
        <v>7595498.23</v>
      </c>
      <c r="E93" s="66">
        <f>+E95+E96+E97</f>
        <v>942195.18</v>
      </c>
      <c r="F93" s="66">
        <f>+F94+F95+F96+F97</f>
        <v>353505.45</v>
      </c>
      <c r="G93" s="66">
        <f aca="true" t="shared" si="40" ref="G93:P93">+G94+G95+G96+G97</f>
        <v>2193705</v>
      </c>
      <c r="H93" s="66">
        <f>+H94+H95+H96+H97</f>
        <v>316097.6</v>
      </c>
      <c r="I93" s="66">
        <f t="shared" si="40"/>
        <v>125</v>
      </c>
      <c r="J93" s="66">
        <f t="shared" si="40"/>
        <v>151925</v>
      </c>
      <c r="K93" s="66">
        <f t="shared" si="40"/>
        <v>0</v>
      </c>
      <c r="L93" s="66">
        <f>+L94+L95+L96+L97</f>
        <v>456699.01</v>
      </c>
      <c r="M93" s="66">
        <f t="shared" si="40"/>
        <v>612125</v>
      </c>
      <c r="N93" s="66">
        <f t="shared" si="40"/>
        <v>211279</v>
      </c>
      <c r="O93" s="66">
        <f t="shared" si="40"/>
        <v>739860</v>
      </c>
      <c r="P93" s="66">
        <f t="shared" si="40"/>
        <v>0</v>
      </c>
      <c r="Q93" s="70">
        <f>SUM(E93:P93)</f>
        <v>5977516.24</v>
      </c>
      <c r="R93" s="71">
        <f>+Q93/(C93+D93)</f>
        <v>0.6215513058238069</v>
      </c>
      <c r="S93" s="70">
        <f t="shared" si="36"/>
        <v>-3955922.2300000004</v>
      </c>
      <c r="T93" s="71">
        <f t="shared" si="37"/>
        <v>-1.9568331773994525</v>
      </c>
      <c r="U93" s="89">
        <f>+U94+U95+U96+U97</f>
        <v>3639576</v>
      </c>
      <c r="V93" s="68">
        <f t="shared" si="39"/>
        <v>1.8003496161922246</v>
      </c>
    </row>
    <row r="94" spans="1:22" s="13" customFormat="1" ht="15">
      <c r="A94" s="97" t="s">
        <v>206</v>
      </c>
      <c r="B94" s="23" t="s">
        <v>207</v>
      </c>
      <c r="C94" s="39">
        <f>1000+6425</f>
        <v>7425</v>
      </c>
      <c r="D94" s="39"/>
      <c r="E94" s="39">
        <v>0</v>
      </c>
      <c r="F94" s="38">
        <v>0</v>
      </c>
      <c r="G94" s="38">
        <v>0</v>
      </c>
      <c r="H94" s="38">
        <v>0</v>
      </c>
      <c r="I94" s="38">
        <v>50</v>
      </c>
      <c r="J94" s="38">
        <v>0</v>
      </c>
      <c r="K94" s="38">
        <v>0</v>
      </c>
      <c r="L94" s="38">
        <v>0</v>
      </c>
      <c r="M94" s="38">
        <v>0</v>
      </c>
      <c r="N94" s="38">
        <v>7375</v>
      </c>
      <c r="O94" s="38">
        <v>0</v>
      </c>
      <c r="P94" s="38">
        <v>0</v>
      </c>
      <c r="Q94" s="87">
        <f t="shared" si="34"/>
        <v>7425</v>
      </c>
      <c r="R94" s="88">
        <f>+Q94/C94</f>
        <v>1</v>
      </c>
      <c r="S94" s="87">
        <f t="shared" si="36"/>
        <v>0</v>
      </c>
      <c r="T94" s="88">
        <f t="shared" si="37"/>
        <v>0</v>
      </c>
      <c r="U94" s="87">
        <f t="shared" si="38"/>
        <v>0</v>
      </c>
      <c r="V94" s="88">
        <f t="shared" si="39"/>
        <v>0</v>
      </c>
    </row>
    <row r="95" spans="1:28" s="3" customFormat="1" ht="15">
      <c r="A95" s="97" t="s">
        <v>122</v>
      </c>
      <c r="B95" s="23" t="s">
        <v>50</v>
      </c>
      <c r="C95" s="39">
        <f>1000+500000+400000-36830.99</f>
        <v>864169.01</v>
      </c>
      <c r="D95" s="39"/>
      <c r="E95" s="39">
        <v>0</v>
      </c>
      <c r="F95" s="38">
        <v>0</v>
      </c>
      <c r="G95" s="38">
        <v>0</v>
      </c>
      <c r="H95" s="38">
        <v>0</v>
      </c>
      <c r="I95" s="38">
        <v>75</v>
      </c>
      <c r="J95" s="38">
        <v>0</v>
      </c>
      <c r="K95" s="38">
        <v>0</v>
      </c>
      <c r="L95" s="38">
        <v>456699.01</v>
      </c>
      <c r="M95" s="38">
        <v>407395</v>
      </c>
      <c r="N95" s="38">
        <v>0</v>
      </c>
      <c r="O95" s="38">
        <v>0</v>
      </c>
      <c r="P95" s="38">
        <v>0</v>
      </c>
      <c r="Q95" s="87">
        <f t="shared" si="34"/>
        <v>864169.01</v>
      </c>
      <c r="R95" s="88">
        <f>+Q95/C95</f>
        <v>1</v>
      </c>
      <c r="S95" s="87">
        <f t="shared" si="36"/>
        <v>0</v>
      </c>
      <c r="T95" s="88">
        <f t="shared" si="37"/>
        <v>0</v>
      </c>
      <c r="U95" s="87">
        <f t="shared" si="38"/>
        <v>0</v>
      </c>
      <c r="V95" s="88">
        <f t="shared" si="39"/>
        <v>0</v>
      </c>
      <c r="AB95" s="2"/>
    </row>
    <row r="96" spans="1:28" s="139" customFormat="1" ht="15">
      <c r="A96" s="132" t="s">
        <v>123</v>
      </c>
      <c r="B96" s="22" t="s">
        <v>148</v>
      </c>
      <c r="C96" s="38">
        <f>950000+200000</f>
        <v>1150000</v>
      </c>
      <c r="D96" s="38">
        <f>2539405.63+316097.6+4739995</f>
        <v>7595498.23</v>
      </c>
      <c r="E96" s="38">
        <v>942195.18</v>
      </c>
      <c r="F96" s="38">
        <v>353505.45</v>
      </c>
      <c r="G96" s="38">
        <v>2193705</v>
      </c>
      <c r="H96" s="38">
        <v>316097.6</v>
      </c>
      <c r="I96" s="38">
        <v>0</v>
      </c>
      <c r="J96" s="38">
        <v>151925</v>
      </c>
      <c r="K96" s="38">
        <v>0</v>
      </c>
      <c r="L96" s="38">
        <v>0</v>
      </c>
      <c r="M96" s="38">
        <v>204730</v>
      </c>
      <c r="N96" s="38">
        <v>203904</v>
      </c>
      <c r="O96" s="38">
        <v>739860</v>
      </c>
      <c r="P96" s="38">
        <v>0</v>
      </c>
      <c r="Q96" s="87">
        <f t="shared" si="34"/>
        <v>5105922.23</v>
      </c>
      <c r="R96" s="88">
        <f>+(C96+D96)/Q96</f>
        <v>1.7128146172332124</v>
      </c>
      <c r="S96" s="87">
        <f t="shared" si="36"/>
        <v>-3955922.2300000004</v>
      </c>
      <c r="T96" s="88">
        <f t="shared" si="37"/>
        <v>-3.439932373913044</v>
      </c>
      <c r="U96" s="87">
        <f t="shared" si="38"/>
        <v>3639576</v>
      </c>
      <c r="V96" s="88">
        <f t="shared" si="39"/>
        <v>3.1648486956521737</v>
      </c>
      <c r="AB96" s="133"/>
    </row>
    <row r="97" spans="1:28" s="3" customFormat="1" ht="15">
      <c r="A97" s="95" t="s">
        <v>124</v>
      </c>
      <c r="B97" s="22" t="s">
        <v>54</v>
      </c>
      <c r="C97" s="38">
        <v>0</v>
      </c>
      <c r="D97" s="38"/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87">
        <f t="shared" si="34"/>
        <v>0</v>
      </c>
      <c r="R97" s="88" t="e">
        <f>+Q97/(D97+C97)</f>
        <v>#DIV/0!</v>
      </c>
      <c r="S97" s="87">
        <f t="shared" si="36"/>
        <v>0</v>
      </c>
      <c r="T97" s="88" t="e">
        <f t="shared" si="37"/>
        <v>#DIV/0!</v>
      </c>
      <c r="U97" s="87">
        <f t="shared" si="38"/>
        <v>0</v>
      </c>
      <c r="V97" s="88" t="e">
        <f aca="true" t="shared" si="41" ref="V97:V116">+U97/C97</f>
        <v>#DIV/0!</v>
      </c>
      <c r="AB97" s="2"/>
    </row>
    <row r="98" spans="1:28" s="3" customFormat="1" ht="15">
      <c r="A98" s="20" t="s">
        <v>210</v>
      </c>
      <c r="B98" s="8" t="s">
        <v>211</v>
      </c>
      <c r="C98" s="66">
        <f>+C99+C100+C101+C102</f>
        <v>958038.36</v>
      </c>
      <c r="D98" s="66">
        <f>+D99+D100+D101+D102</f>
        <v>0</v>
      </c>
      <c r="E98" s="66">
        <f>+E99+E100+E101+E102</f>
        <v>0</v>
      </c>
      <c r="F98" s="66">
        <f>+F99+F100+F101+F102</f>
        <v>187918</v>
      </c>
      <c r="G98" s="66">
        <f aca="true" t="shared" si="42" ref="G98:L98">+G99+G100+G101+G102</f>
        <v>0</v>
      </c>
      <c r="H98" s="66">
        <f>+H99+H100+H101+H102</f>
        <v>0</v>
      </c>
      <c r="I98" s="66">
        <f t="shared" si="42"/>
        <v>0</v>
      </c>
      <c r="J98" s="66">
        <f t="shared" si="42"/>
        <v>387800</v>
      </c>
      <c r="K98" s="66">
        <f t="shared" si="42"/>
        <v>22461.16</v>
      </c>
      <c r="L98" s="66">
        <f t="shared" si="42"/>
        <v>2510</v>
      </c>
      <c r="M98" s="66">
        <f>+M99+M100+M101+M102</f>
        <v>174400</v>
      </c>
      <c r="N98" s="66">
        <f>+N99+N100+N101+N102</f>
        <v>21360</v>
      </c>
      <c r="O98" s="66">
        <f>+O99+O100+O101+O102</f>
        <v>29500</v>
      </c>
      <c r="P98" s="66">
        <f>+P99+P100+P101+P102</f>
        <v>132089.2</v>
      </c>
      <c r="Q98" s="70">
        <f>SUM(E98:P98)</f>
        <v>958038.3600000001</v>
      </c>
      <c r="R98" s="71">
        <f aca="true" t="shared" si="43" ref="R98:R111">+Q98/C98</f>
        <v>1.0000000000000002</v>
      </c>
      <c r="S98" s="70">
        <f t="shared" si="36"/>
        <v>0</v>
      </c>
      <c r="T98" s="71">
        <f t="shared" si="37"/>
        <v>0</v>
      </c>
      <c r="U98" s="89">
        <f>+C98+D98-Q98</f>
        <v>0</v>
      </c>
      <c r="V98" s="68">
        <f t="shared" si="41"/>
        <v>0</v>
      </c>
      <c r="AB98" s="2"/>
    </row>
    <row r="99" spans="1:28" s="3" customFormat="1" ht="15">
      <c r="A99" s="95" t="s">
        <v>226</v>
      </c>
      <c r="B99" s="22" t="s">
        <v>227</v>
      </c>
      <c r="C99" s="39">
        <f>100000*12-400000-127070-300000-307322</f>
        <v>65608</v>
      </c>
      <c r="D99" s="39"/>
      <c r="E99" s="39">
        <v>0</v>
      </c>
      <c r="F99" s="39">
        <v>36108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29500</v>
      </c>
      <c r="P99" s="39">
        <v>0</v>
      </c>
      <c r="Q99" s="87">
        <f t="shared" si="34"/>
        <v>65608</v>
      </c>
      <c r="R99" s="88">
        <f t="shared" si="43"/>
        <v>1</v>
      </c>
      <c r="S99" s="87">
        <f t="shared" si="36"/>
        <v>0</v>
      </c>
      <c r="T99" s="88">
        <f t="shared" si="37"/>
        <v>0</v>
      </c>
      <c r="U99" s="87">
        <f t="shared" si="38"/>
        <v>0</v>
      </c>
      <c r="V99" s="88">
        <f t="shared" si="41"/>
        <v>0</v>
      </c>
      <c r="AB99" s="2"/>
    </row>
    <row r="100" spans="1:28" s="3" customFormat="1" ht="15">
      <c r="A100" s="95" t="s">
        <v>228</v>
      </c>
      <c r="B100" s="22" t="s">
        <v>229</v>
      </c>
      <c r="C100" s="39">
        <f>50000*12-300000-100000+200000+53185.36</f>
        <v>453185.36</v>
      </c>
      <c r="D100" s="39"/>
      <c r="E100" s="39">
        <v>0</v>
      </c>
      <c r="F100" s="39">
        <v>129685</v>
      </c>
      <c r="G100" s="39">
        <v>0</v>
      </c>
      <c r="H100" s="39">
        <v>0</v>
      </c>
      <c r="I100" s="39">
        <v>0</v>
      </c>
      <c r="J100" s="39">
        <v>188800</v>
      </c>
      <c r="K100" s="39">
        <v>2461.16</v>
      </c>
      <c r="L100" s="39">
        <v>150</v>
      </c>
      <c r="M100" s="39">
        <v>0</v>
      </c>
      <c r="N100" s="39">
        <v>0</v>
      </c>
      <c r="O100" s="39">
        <v>0</v>
      </c>
      <c r="P100" s="39">
        <v>132089.2</v>
      </c>
      <c r="Q100" s="87">
        <f t="shared" si="34"/>
        <v>453185.36</v>
      </c>
      <c r="R100" s="88">
        <f t="shared" si="43"/>
        <v>1</v>
      </c>
      <c r="S100" s="87">
        <f t="shared" si="36"/>
        <v>0</v>
      </c>
      <c r="T100" s="88">
        <f t="shared" si="37"/>
        <v>0</v>
      </c>
      <c r="U100" s="87">
        <f t="shared" si="38"/>
        <v>0</v>
      </c>
      <c r="V100" s="88">
        <f t="shared" si="41"/>
        <v>0</v>
      </c>
      <c r="AB100" s="2"/>
    </row>
    <row r="101" spans="1:28" s="3" customFormat="1" ht="15">
      <c r="A101" s="95" t="s">
        <v>230</v>
      </c>
      <c r="B101" s="22" t="s">
        <v>231</v>
      </c>
      <c r="C101" s="39">
        <f>35000*12-200000-39755</f>
        <v>180245</v>
      </c>
      <c r="D101" s="39"/>
      <c r="E101" s="39">
        <v>0</v>
      </c>
      <c r="F101" s="39">
        <v>22125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2360</v>
      </c>
      <c r="M101" s="39">
        <v>153400</v>
      </c>
      <c r="N101" s="39">
        <v>2360</v>
      </c>
      <c r="O101" s="39">
        <v>0</v>
      </c>
      <c r="P101" s="39">
        <v>0</v>
      </c>
      <c r="Q101" s="87">
        <f t="shared" si="34"/>
        <v>180245</v>
      </c>
      <c r="R101" s="88">
        <f t="shared" si="43"/>
        <v>1</v>
      </c>
      <c r="S101" s="87">
        <f t="shared" si="36"/>
        <v>0</v>
      </c>
      <c r="T101" s="88">
        <f t="shared" si="37"/>
        <v>0</v>
      </c>
      <c r="U101" s="87">
        <f t="shared" si="38"/>
        <v>0</v>
      </c>
      <c r="V101" s="88">
        <f t="shared" si="41"/>
        <v>0</v>
      </c>
      <c r="AB101" s="2"/>
    </row>
    <row r="102" spans="1:28" s="3" customFormat="1" ht="15">
      <c r="A102" s="95" t="s">
        <v>209</v>
      </c>
      <c r="B102" s="22" t="s">
        <v>208</v>
      </c>
      <c r="C102" s="39">
        <f>30000*12-50000-100000+20000+10000+19000</f>
        <v>259000</v>
      </c>
      <c r="D102" s="39"/>
      <c r="E102" s="39">
        <v>0</v>
      </c>
      <c r="F102" s="39">
        <v>0</v>
      </c>
      <c r="G102" s="39">
        <v>0</v>
      </c>
      <c r="H102" s="39">
        <v>0</v>
      </c>
      <c r="I102" s="39">
        <v>0</v>
      </c>
      <c r="J102" s="39">
        <v>199000</v>
      </c>
      <c r="K102" s="39">
        <v>20000</v>
      </c>
      <c r="L102" s="39">
        <v>0</v>
      </c>
      <c r="M102" s="39">
        <v>21000</v>
      </c>
      <c r="N102" s="39">
        <v>19000</v>
      </c>
      <c r="O102" s="39">
        <v>0</v>
      </c>
      <c r="P102" s="39">
        <v>0</v>
      </c>
      <c r="Q102" s="87">
        <f t="shared" si="34"/>
        <v>259000</v>
      </c>
      <c r="R102" s="88">
        <f t="shared" si="43"/>
        <v>1</v>
      </c>
      <c r="S102" s="87">
        <f t="shared" si="36"/>
        <v>0</v>
      </c>
      <c r="T102" s="88">
        <f t="shared" si="37"/>
        <v>0</v>
      </c>
      <c r="U102" s="87">
        <f t="shared" si="38"/>
        <v>0</v>
      </c>
      <c r="V102" s="88">
        <f t="shared" si="41"/>
        <v>0</v>
      </c>
      <c r="AB102" s="2"/>
    </row>
    <row r="103" spans="1:28" s="3" customFormat="1" ht="15">
      <c r="A103" s="20" t="s">
        <v>214</v>
      </c>
      <c r="B103" s="8" t="s">
        <v>215</v>
      </c>
      <c r="C103" s="66">
        <f>+C104+C105</f>
        <v>4547070</v>
      </c>
      <c r="D103" s="66">
        <f>+D104+D105</f>
        <v>4588768.49</v>
      </c>
      <c r="E103" s="66">
        <f>+E104+E105</f>
        <v>0</v>
      </c>
      <c r="F103" s="66">
        <f>+F104</f>
        <v>3153000</v>
      </c>
      <c r="G103" s="66">
        <f aca="true" t="shared" si="44" ref="G103:L103">+G104</f>
        <v>0</v>
      </c>
      <c r="H103" s="66">
        <f>+H104+H105</f>
        <v>0</v>
      </c>
      <c r="I103" s="66">
        <f>+I104+I105</f>
        <v>0</v>
      </c>
      <c r="J103" s="66">
        <f t="shared" si="44"/>
        <v>3297982</v>
      </c>
      <c r="K103" s="66">
        <f t="shared" si="44"/>
        <v>0</v>
      </c>
      <c r="L103" s="66">
        <f t="shared" si="44"/>
        <v>0</v>
      </c>
      <c r="M103" s="66">
        <f>+M104+M105</f>
        <v>0</v>
      </c>
      <c r="N103" s="66">
        <f>+N104+N105</f>
        <v>0</v>
      </c>
      <c r="O103" s="66">
        <f>+O104+O105</f>
        <v>0</v>
      </c>
      <c r="P103" s="66">
        <f>+P104+P105</f>
        <v>0</v>
      </c>
      <c r="Q103" s="70">
        <f>SUM(E103:P103)</f>
        <v>6450982</v>
      </c>
      <c r="R103" s="71">
        <f t="shared" si="43"/>
        <v>1.4187118298156836</v>
      </c>
      <c r="S103" s="70">
        <f t="shared" si="36"/>
        <v>-1903912</v>
      </c>
      <c r="T103" s="71">
        <f t="shared" si="37"/>
        <v>-0.4187118298156835</v>
      </c>
      <c r="U103" s="89">
        <f>+C103+D103-Q103</f>
        <v>2684856.49</v>
      </c>
      <c r="V103" s="68">
        <f t="shared" si="41"/>
        <v>0.590458578821087</v>
      </c>
      <c r="AB103" s="2"/>
    </row>
    <row r="104" spans="1:28" s="139" customFormat="1" ht="15">
      <c r="A104" s="132" t="s">
        <v>213</v>
      </c>
      <c r="B104" s="22" t="s">
        <v>212</v>
      </c>
      <c r="C104" s="38">
        <f>35000*12+127070+4000000</f>
        <v>4547070</v>
      </c>
      <c r="D104" s="38">
        <f>2605930+1982838.49</f>
        <v>4588768.49</v>
      </c>
      <c r="E104" s="38">
        <v>0</v>
      </c>
      <c r="F104" s="38">
        <v>3153000</v>
      </c>
      <c r="G104" s="38">
        <v>0</v>
      </c>
      <c r="H104" s="38">
        <v>0</v>
      </c>
      <c r="I104" s="38">
        <v>0</v>
      </c>
      <c r="J104" s="38">
        <v>3297982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87">
        <f t="shared" si="34"/>
        <v>6450982</v>
      </c>
      <c r="R104" s="88">
        <f t="shared" si="43"/>
        <v>1.4187118298156836</v>
      </c>
      <c r="S104" s="87">
        <f t="shared" si="36"/>
        <v>-1903912</v>
      </c>
      <c r="T104" s="88">
        <f t="shared" si="37"/>
        <v>-0.4187118298156835</v>
      </c>
      <c r="U104" s="87">
        <f t="shared" si="38"/>
        <v>2684856.49</v>
      </c>
      <c r="V104" s="88">
        <f t="shared" si="41"/>
        <v>0.590458578821087</v>
      </c>
      <c r="AB104" s="133"/>
    </row>
    <row r="105" spans="1:28" s="3" customFormat="1" ht="15">
      <c r="A105" s="95" t="s">
        <v>253</v>
      </c>
      <c r="B105" s="22" t="s">
        <v>252</v>
      </c>
      <c r="C105" s="39">
        <v>0</v>
      </c>
      <c r="D105" s="39"/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87">
        <f t="shared" si="34"/>
        <v>0</v>
      </c>
      <c r="R105" s="88" t="e">
        <f t="shared" si="43"/>
        <v>#DIV/0!</v>
      </c>
      <c r="S105" s="87">
        <f t="shared" si="36"/>
        <v>0</v>
      </c>
      <c r="T105" s="88" t="e">
        <f t="shared" si="37"/>
        <v>#DIV/0!</v>
      </c>
      <c r="U105" s="87">
        <f t="shared" si="38"/>
        <v>0</v>
      </c>
      <c r="V105" s="88" t="e">
        <f t="shared" si="41"/>
        <v>#DIV/0!</v>
      </c>
      <c r="AB105" s="2"/>
    </row>
    <row r="106" spans="1:28" s="12" customFormat="1" ht="15">
      <c r="A106" s="20" t="s">
        <v>55</v>
      </c>
      <c r="B106" s="8" t="s">
        <v>195</v>
      </c>
      <c r="C106" s="66">
        <f>+C108+C109+C110</f>
        <v>719211.31</v>
      </c>
      <c r="D106" s="66">
        <f>+D108+D109+D110</f>
        <v>4780277</v>
      </c>
      <c r="E106" s="66">
        <f>+E107+E108+E109+E110</f>
        <v>7534.97</v>
      </c>
      <c r="F106" s="66">
        <f>+F108+F110</f>
        <v>160577.6</v>
      </c>
      <c r="G106" s="66">
        <f>+G107+G108+G109+G110</f>
        <v>3633.53</v>
      </c>
      <c r="H106" s="66">
        <f>+H108+H109+H110</f>
        <v>4045</v>
      </c>
      <c r="I106" s="66">
        <f>+I108+I109+I110</f>
        <v>129728.48999999999</v>
      </c>
      <c r="J106" s="66">
        <f>+J107+J108+J109+J110</f>
        <v>188.51</v>
      </c>
      <c r="K106" s="66">
        <f>+K108+K109+K110</f>
        <v>912.98</v>
      </c>
      <c r="L106" s="66">
        <f>+L108+L110</f>
        <v>0</v>
      </c>
      <c r="M106" s="66">
        <f>+M108+M109+M110</f>
        <v>204957.89</v>
      </c>
      <c r="N106" s="66">
        <f>+N108+N109+N110</f>
        <v>2572.02</v>
      </c>
      <c r="O106" s="66">
        <f>+O108+O109+O110</f>
        <v>4780277</v>
      </c>
      <c r="P106" s="66">
        <f>+P107+P108+P109+P110</f>
        <v>205060.32</v>
      </c>
      <c r="Q106" s="70">
        <f>SUM(E106:P106)</f>
        <v>5499488.3100000005</v>
      </c>
      <c r="R106" s="71">
        <f t="shared" si="43"/>
        <v>7.646554265115769</v>
      </c>
      <c r="S106" s="70">
        <f t="shared" si="36"/>
        <v>-4780277</v>
      </c>
      <c r="T106" s="71">
        <f t="shared" si="37"/>
        <v>-6.646554265115769</v>
      </c>
      <c r="U106" s="89">
        <f>+U108+U109+U110</f>
        <v>1.8189894035458565E-11</v>
      </c>
      <c r="V106" s="68">
        <f t="shared" si="41"/>
        <v>2.5291446036156694E-17</v>
      </c>
      <c r="W106" s="1"/>
      <c r="X106" s="1"/>
      <c r="Y106" s="1"/>
      <c r="Z106" s="1"/>
      <c r="AA106" s="1"/>
      <c r="AB106" s="1"/>
    </row>
    <row r="107" spans="1:28" s="12" customFormat="1" ht="15">
      <c r="A107" s="121" t="s">
        <v>312</v>
      </c>
      <c r="B107" s="22" t="s">
        <v>309</v>
      </c>
      <c r="C107" s="39">
        <v>0</v>
      </c>
      <c r="D107" s="39"/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87">
        <f t="shared" si="34"/>
        <v>0</v>
      </c>
      <c r="R107" s="88" t="e">
        <f>+Q107/C107</f>
        <v>#DIV/0!</v>
      </c>
      <c r="S107" s="87">
        <f>+C107-Q107</f>
        <v>0</v>
      </c>
      <c r="T107" s="88" t="e">
        <f>+S107/C107</f>
        <v>#DIV/0!</v>
      </c>
      <c r="U107" s="87">
        <f>+C107+D107-Q107</f>
        <v>0</v>
      </c>
      <c r="V107" s="88" t="e">
        <f>+U107/C107</f>
        <v>#DIV/0!</v>
      </c>
      <c r="W107" s="1"/>
      <c r="X107" s="1"/>
      <c r="Y107" s="1"/>
      <c r="Z107" s="1"/>
      <c r="AA107" s="1"/>
      <c r="AB107" s="1"/>
    </row>
    <row r="108" spans="1:28" s="3" customFormat="1" ht="15">
      <c r="A108" s="95" t="s">
        <v>95</v>
      </c>
      <c r="B108" s="22" t="s">
        <v>56</v>
      </c>
      <c r="C108" s="39">
        <f>100000*12-500000-130842.19</f>
        <v>569157.81</v>
      </c>
      <c r="D108" s="39"/>
      <c r="E108" s="39">
        <v>0</v>
      </c>
      <c r="F108" s="39">
        <v>159677.6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204957.89</v>
      </c>
      <c r="N108" s="39">
        <v>0</v>
      </c>
      <c r="O108" s="39">
        <v>0</v>
      </c>
      <c r="P108" s="39">
        <v>204522.32</v>
      </c>
      <c r="Q108" s="87">
        <f t="shared" si="34"/>
        <v>569157.81</v>
      </c>
      <c r="R108" s="88">
        <f t="shared" si="43"/>
        <v>1</v>
      </c>
      <c r="S108" s="87">
        <f t="shared" si="36"/>
        <v>0</v>
      </c>
      <c r="T108" s="88">
        <f t="shared" si="37"/>
        <v>0</v>
      </c>
      <c r="U108" s="87">
        <f t="shared" si="38"/>
        <v>0</v>
      </c>
      <c r="V108" s="88">
        <f t="shared" si="41"/>
        <v>0</v>
      </c>
      <c r="W108" s="2"/>
      <c r="X108" s="2"/>
      <c r="Y108" s="2"/>
      <c r="Z108" s="2"/>
      <c r="AA108" s="2"/>
      <c r="AB108" s="17"/>
    </row>
    <row r="109" spans="1:28" s="3" customFormat="1" ht="15">
      <c r="A109" s="95" t="s">
        <v>242</v>
      </c>
      <c r="B109" s="22" t="s">
        <v>243</v>
      </c>
      <c r="C109" s="39">
        <f>50000*12-140000-452150.98</f>
        <v>7849.020000000019</v>
      </c>
      <c r="D109" s="39"/>
      <c r="E109" s="39">
        <v>2800</v>
      </c>
      <c r="F109" s="39">
        <v>0</v>
      </c>
      <c r="G109" s="39">
        <v>0</v>
      </c>
      <c r="H109" s="39">
        <v>3000</v>
      </c>
      <c r="I109" s="39">
        <v>1929.01</v>
      </c>
      <c r="J109" s="39">
        <v>120.01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87">
        <f t="shared" si="34"/>
        <v>7849.02</v>
      </c>
      <c r="R109" s="88">
        <f t="shared" si="43"/>
        <v>0.9999999999999977</v>
      </c>
      <c r="S109" s="87">
        <f t="shared" si="36"/>
        <v>1.8189894035458565E-11</v>
      </c>
      <c r="T109" s="88">
        <f t="shared" si="37"/>
        <v>2.3174732686957762E-15</v>
      </c>
      <c r="U109" s="87">
        <f t="shared" si="38"/>
        <v>1.8189894035458565E-11</v>
      </c>
      <c r="V109" s="88">
        <f t="shared" si="41"/>
        <v>2.3174732686957762E-15</v>
      </c>
      <c r="W109" s="2"/>
      <c r="X109" s="2"/>
      <c r="Y109" s="2"/>
      <c r="Z109" s="2"/>
      <c r="AA109" s="2"/>
      <c r="AB109" s="17"/>
    </row>
    <row r="110" spans="1:28" s="3" customFormat="1" ht="15">
      <c r="A110" s="95" t="s">
        <v>96</v>
      </c>
      <c r="B110" s="22" t="s">
        <v>232</v>
      </c>
      <c r="C110" s="34">
        <f>75000*12-757795.52</f>
        <v>142204.47999999998</v>
      </c>
      <c r="D110" s="39">
        <v>4780277</v>
      </c>
      <c r="E110" s="39">
        <v>4734.97</v>
      </c>
      <c r="F110" s="38">
        <v>900</v>
      </c>
      <c r="G110" s="38">
        <v>3633.53</v>
      </c>
      <c r="H110" s="38">
        <v>1045</v>
      </c>
      <c r="I110" s="38">
        <v>127799.48</v>
      </c>
      <c r="J110" s="38">
        <v>68.5</v>
      </c>
      <c r="K110" s="38">
        <v>912.98</v>
      </c>
      <c r="L110" s="38">
        <v>0</v>
      </c>
      <c r="M110" s="38">
        <v>0</v>
      </c>
      <c r="N110" s="38">
        <v>2572.02</v>
      </c>
      <c r="O110" s="38">
        <v>4780277</v>
      </c>
      <c r="P110" s="38">
        <v>538</v>
      </c>
      <c r="Q110" s="87">
        <f t="shared" si="34"/>
        <v>4922481.48</v>
      </c>
      <c r="R110" s="88">
        <f t="shared" si="43"/>
        <v>34.61551619189495</v>
      </c>
      <c r="S110" s="87">
        <f t="shared" si="36"/>
        <v>-4780277</v>
      </c>
      <c r="T110" s="88">
        <f t="shared" si="37"/>
        <v>-33.61551619189494</v>
      </c>
      <c r="U110" s="87">
        <f t="shared" si="38"/>
        <v>0</v>
      </c>
      <c r="V110" s="88">
        <f t="shared" si="41"/>
        <v>0</v>
      </c>
      <c r="W110" s="2"/>
      <c r="X110" s="2"/>
      <c r="Y110" s="2"/>
      <c r="Z110" s="2"/>
      <c r="AA110" s="2"/>
      <c r="AB110" s="17"/>
    </row>
    <row r="111" spans="1:28" s="12" customFormat="1" ht="30">
      <c r="A111" s="86" t="s">
        <v>57</v>
      </c>
      <c r="B111" s="31" t="s">
        <v>196</v>
      </c>
      <c r="C111" s="66">
        <f aca="true" t="shared" si="45" ref="C111:P111">+C112+C113+C114+C115+C116</f>
        <v>2907157.8099999996</v>
      </c>
      <c r="D111" s="66">
        <f t="shared" si="45"/>
        <v>0</v>
      </c>
      <c r="E111" s="66">
        <f t="shared" si="45"/>
        <v>5795.1</v>
      </c>
      <c r="F111" s="66">
        <f t="shared" si="45"/>
        <v>39087.12</v>
      </c>
      <c r="G111" s="66">
        <f t="shared" si="45"/>
        <v>29972.75</v>
      </c>
      <c r="H111" s="66">
        <f t="shared" si="45"/>
        <v>1142024.9</v>
      </c>
      <c r="I111" s="66">
        <f t="shared" si="45"/>
        <v>3946.18</v>
      </c>
      <c r="J111" s="66">
        <f t="shared" si="45"/>
        <v>931724.2000000001</v>
      </c>
      <c r="K111" s="66">
        <f t="shared" si="45"/>
        <v>301081.4</v>
      </c>
      <c r="L111" s="66">
        <f t="shared" si="45"/>
        <v>680.04</v>
      </c>
      <c r="M111" s="66">
        <f t="shared" si="45"/>
        <v>620</v>
      </c>
      <c r="N111" s="66">
        <f t="shared" si="45"/>
        <v>0</v>
      </c>
      <c r="O111" s="66">
        <f t="shared" si="45"/>
        <v>451223.03</v>
      </c>
      <c r="P111" s="66">
        <f t="shared" si="45"/>
        <v>1002.99</v>
      </c>
      <c r="Q111" s="70">
        <f>SUM(E111:P111)</f>
        <v>2907157.71</v>
      </c>
      <c r="R111" s="71">
        <f t="shared" si="43"/>
        <v>0.9999999656021427</v>
      </c>
      <c r="S111" s="70">
        <f t="shared" si="36"/>
        <v>0.09999999962747097</v>
      </c>
      <c r="T111" s="71">
        <f t="shared" si="37"/>
        <v>3.43978573448928E-08</v>
      </c>
      <c r="U111" s="89">
        <f>+U112+U113+U114+U115+U116</f>
        <v>0.10000000009313226</v>
      </c>
      <c r="V111" s="68">
        <f t="shared" si="41"/>
        <v>3.4397857505070313E-08</v>
      </c>
      <c r="W111" s="1"/>
      <c r="X111" s="1"/>
      <c r="Y111" s="1"/>
      <c r="Z111" s="1"/>
      <c r="AA111" s="1"/>
      <c r="AB111" s="1"/>
    </row>
    <row r="112" spans="1:28" s="12" customFormat="1" ht="15">
      <c r="A112" s="111" t="s">
        <v>295</v>
      </c>
      <c r="B112" s="22" t="s">
        <v>296</v>
      </c>
      <c r="C112" s="34">
        <f>50000*12-598755</f>
        <v>1245</v>
      </c>
      <c r="D112" s="39"/>
      <c r="E112" s="39">
        <v>0</v>
      </c>
      <c r="F112" s="38">
        <v>0</v>
      </c>
      <c r="G112" s="38">
        <v>970</v>
      </c>
      <c r="H112" s="38">
        <v>150</v>
      </c>
      <c r="I112" s="38">
        <v>0</v>
      </c>
      <c r="J112" s="38">
        <v>125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87">
        <f t="shared" si="34"/>
        <v>1245</v>
      </c>
      <c r="R112" s="88">
        <f>+Q112/(C112+D112)</f>
        <v>1</v>
      </c>
      <c r="S112" s="87">
        <f>+C112-Q112</f>
        <v>0</v>
      </c>
      <c r="T112" s="88">
        <f>+S112/C112</f>
        <v>0</v>
      </c>
      <c r="U112" s="87">
        <f t="shared" si="38"/>
        <v>0</v>
      </c>
      <c r="V112" s="88">
        <f>+U112/C112</f>
        <v>0</v>
      </c>
      <c r="W112" s="1"/>
      <c r="X112" s="1"/>
      <c r="Y112" s="1"/>
      <c r="Z112" s="1"/>
      <c r="AA112" s="1"/>
      <c r="AB112" s="1"/>
    </row>
    <row r="113" spans="1:28" s="12" customFormat="1" ht="15">
      <c r="A113" s="107" t="s">
        <v>244</v>
      </c>
      <c r="B113" s="22" t="s">
        <v>245</v>
      </c>
      <c r="C113" s="34">
        <f>40000*12-44488.8-400000</f>
        <v>35511.20000000001</v>
      </c>
      <c r="D113" s="39"/>
      <c r="E113" s="39">
        <v>140</v>
      </c>
      <c r="F113" s="38">
        <v>34686.8</v>
      </c>
      <c r="G113" s="38">
        <v>0</v>
      </c>
      <c r="H113" s="38">
        <v>0</v>
      </c>
      <c r="I113" s="38">
        <v>684.4</v>
      </c>
      <c r="J113" s="38"/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87">
        <f t="shared" si="34"/>
        <v>35511.200000000004</v>
      </c>
      <c r="R113" s="88">
        <v>0</v>
      </c>
      <c r="S113" s="87">
        <f>+C113-Q113</f>
        <v>0</v>
      </c>
      <c r="T113" s="88">
        <f>+S113/C113</f>
        <v>0</v>
      </c>
      <c r="U113" s="87">
        <f t="shared" si="38"/>
        <v>0</v>
      </c>
      <c r="V113" s="88">
        <f>+U113/C113</f>
        <v>0</v>
      </c>
      <c r="W113" s="1"/>
      <c r="X113" s="1"/>
      <c r="Y113" s="1"/>
      <c r="Z113" s="1"/>
      <c r="AA113" s="1"/>
      <c r="AB113" s="1"/>
    </row>
    <row r="114" spans="1:28" s="12" customFormat="1" ht="15">
      <c r="A114" s="111" t="s">
        <v>297</v>
      </c>
      <c r="B114" s="22" t="s">
        <v>298</v>
      </c>
      <c r="C114" s="34">
        <f>1200000-58575</f>
        <v>1141425</v>
      </c>
      <c r="D114" s="39"/>
      <c r="E114" s="39">
        <v>0</v>
      </c>
      <c r="F114" s="38">
        <v>0</v>
      </c>
      <c r="G114" s="38">
        <v>0</v>
      </c>
      <c r="H114" s="38">
        <v>1141424.9</v>
      </c>
      <c r="I114" s="38">
        <v>0</v>
      </c>
      <c r="J114" s="38"/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87">
        <f t="shared" si="34"/>
        <v>1141424.9</v>
      </c>
      <c r="R114" s="88">
        <f>+Q114/(C114+D114)</f>
        <v>0.9999999123902139</v>
      </c>
      <c r="S114" s="87">
        <f>+C114-Q114</f>
        <v>0.10000000009313226</v>
      </c>
      <c r="T114" s="88">
        <f>+S114/C114</f>
        <v>8.760978609469064E-08</v>
      </c>
      <c r="U114" s="87">
        <f t="shared" si="38"/>
        <v>0.10000000009313226</v>
      </c>
      <c r="V114" s="88">
        <f>+U114/C114</f>
        <v>8.760978609469064E-08</v>
      </c>
      <c r="W114" s="1"/>
      <c r="X114" s="1"/>
      <c r="Y114" s="1"/>
      <c r="Z114" s="1"/>
      <c r="AA114" s="1"/>
      <c r="AB114" s="1"/>
    </row>
    <row r="115" spans="1:28" s="12" customFormat="1" ht="15">
      <c r="A115" s="107" t="s">
        <v>163</v>
      </c>
      <c r="B115" s="22" t="s">
        <v>170</v>
      </c>
      <c r="C115" s="34">
        <f>60000*12+300000+300000+405786.61</f>
        <v>1725786.6099999999</v>
      </c>
      <c r="D115" s="39"/>
      <c r="E115" s="39">
        <v>4755.1</v>
      </c>
      <c r="F115" s="38">
        <v>4400.32</v>
      </c>
      <c r="G115" s="38">
        <f>168.03+28834.72</f>
        <v>29002.75</v>
      </c>
      <c r="H115" s="38">
        <v>0</v>
      </c>
      <c r="I115" s="38">
        <v>1761.78</v>
      </c>
      <c r="J115" s="38">
        <f>480.02+930779.18</f>
        <v>931259.2000000001</v>
      </c>
      <c r="K115" s="38">
        <f>295401.2+5680.2</f>
        <v>301081.4</v>
      </c>
      <c r="L115" s="38">
        <v>680.04</v>
      </c>
      <c r="M115" s="38">
        <v>620</v>
      </c>
      <c r="N115" s="38">
        <v>0</v>
      </c>
      <c r="O115" s="38">
        <v>451223.03</v>
      </c>
      <c r="P115" s="38">
        <v>1002.99</v>
      </c>
      <c r="Q115" s="87">
        <f t="shared" si="34"/>
        <v>1725786.61</v>
      </c>
      <c r="R115" s="88">
        <f>+Q115/(C115+D115)</f>
        <v>1.0000000000000002</v>
      </c>
      <c r="S115" s="87">
        <f>+C115-Q115</f>
        <v>0</v>
      </c>
      <c r="T115" s="88">
        <f>+S115/C115</f>
        <v>0</v>
      </c>
      <c r="U115" s="87">
        <f t="shared" si="38"/>
        <v>0</v>
      </c>
      <c r="V115" s="88">
        <f>+U115/C115</f>
        <v>0</v>
      </c>
      <c r="W115" s="1"/>
      <c r="X115" s="1"/>
      <c r="Y115" s="1"/>
      <c r="Z115" s="1"/>
      <c r="AA115" s="1"/>
      <c r="AB115" s="1"/>
    </row>
    <row r="116" spans="1:28" s="3" customFormat="1" ht="15">
      <c r="A116" s="111" t="s">
        <v>300</v>
      </c>
      <c r="B116" s="22" t="s">
        <v>299</v>
      </c>
      <c r="C116" s="34">
        <f>22913*12-271766</f>
        <v>3190</v>
      </c>
      <c r="D116" s="39"/>
      <c r="E116" s="39">
        <v>900</v>
      </c>
      <c r="F116" s="38">
        <v>0</v>
      </c>
      <c r="G116" s="38">
        <v>0</v>
      </c>
      <c r="H116" s="38">
        <v>450</v>
      </c>
      <c r="I116" s="38">
        <v>1500</v>
      </c>
      <c r="J116" s="38">
        <v>340</v>
      </c>
      <c r="K116" s="38">
        <v>0</v>
      </c>
      <c r="L116" s="38">
        <v>0</v>
      </c>
      <c r="M116" s="38"/>
      <c r="N116" s="38">
        <v>0</v>
      </c>
      <c r="O116" s="38">
        <v>0</v>
      </c>
      <c r="P116" s="38">
        <v>0</v>
      </c>
      <c r="Q116" s="87">
        <f t="shared" si="34"/>
        <v>3190</v>
      </c>
      <c r="R116" s="88">
        <f>+Q116/(C116+D116)</f>
        <v>1</v>
      </c>
      <c r="S116" s="87">
        <f t="shared" si="36"/>
        <v>0</v>
      </c>
      <c r="T116" s="88">
        <f t="shared" si="37"/>
        <v>0</v>
      </c>
      <c r="U116" s="87">
        <f t="shared" si="38"/>
        <v>0</v>
      </c>
      <c r="V116" s="88">
        <f t="shared" si="41"/>
        <v>0</v>
      </c>
      <c r="W116" s="2"/>
      <c r="X116" s="2"/>
      <c r="Y116" s="2"/>
      <c r="Z116" s="2"/>
      <c r="AA116" s="2"/>
      <c r="AB116" s="17"/>
    </row>
    <row r="117" spans="1:28" s="3" customFormat="1" ht="15" hidden="1">
      <c r="A117" s="43" t="s">
        <v>58</v>
      </c>
      <c r="B117" s="6" t="s">
        <v>59</v>
      </c>
      <c r="C117" s="54">
        <v>0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52"/>
      <c r="R117" s="52"/>
      <c r="S117" s="55">
        <v>0</v>
      </c>
      <c r="T117" s="55"/>
      <c r="U117" s="87"/>
      <c r="V117" s="52"/>
      <c r="AB117" s="2"/>
    </row>
    <row r="118" spans="1:22" s="13" customFormat="1" ht="30">
      <c r="A118" s="35" t="s">
        <v>60</v>
      </c>
      <c r="B118" s="100" t="s">
        <v>268</v>
      </c>
      <c r="C118" s="66">
        <f>+C119+C120+C121+C122+C124+C125+C127+C130+C131</f>
        <v>63092571.77</v>
      </c>
      <c r="D118" s="66">
        <f>+D119+D120+D121+D122+D124+D125+D127+D130+D131</f>
        <v>20960847.96</v>
      </c>
      <c r="E118" s="66">
        <f>+E119+E120+E121+E122+E124+E125+E131+E130</f>
        <v>15791593.63</v>
      </c>
      <c r="F118" s="66">
        <f>+F119+F120+F121+F122+F124+F125+F127+F130+F131</f>
        <v>5083576.33</v>
      </c>
      <c r="G118" s="66">
        <f>+G119+G120+G121+G122+G124+G125+G127+G130+G131</f>
        <v>5930319.130000001</v>
      </c>
      <c r="H118" s="66">
        <f>+H119+H120+H121+H122+H124+H125+H127+H130+H131</f>
        <v>5168632.71</v>
      </c>
      <c r="I118" s="66">
        <f>+I119+I120+I121+I122+I124+I125+I127+I129+I130+I131</f>
        <v>6740073.210000001</v>
      </c>
      <c r="J118" s="66">
        <f>+J119+J120+J121+J122+J124+J125+J131+J130</f>
        <v>6680440.96</v>
      </c>
      <c r="K118" s="66">
        <f>+K119+K120+K121+K122+K124+K125+K127+K128+K129+K130+K131</f>
        <v>6645580.97</v>
      </c>
      <c r="L118" s="66">
        <f>+L119+L120+L121+L122+L124+L125+L131+L130</f>
        <v>5912028.38</v>
      </c>
      <c r="M118" s="66">
        <f>+M119+M120+M121+M122+M124+M125+M127+M130+M131</f>
        <v>5645695.4399999995</v>
      </c>
      <c r="N118" s="66">
        <f>+N119+N120+N121+N122+N124+N125+N131+N130</f>
        <v>7223849.239999999</v>
      </c>
      <c r="O118" s="66">
        <f>+O119+O120+O121+O122+O124+O125+O131+O130</f>
        <v>5849667.43</v>
      </c>
      <c r="P118" s="66">
        <f>+P119+P120+P121+P122+P124+P125+P127+P130+P131</f>
        <v>7382867.300000001</v>
      </c>
      <c r="Q118" s="70">
        <f>SUM(E118:P118)</f>
        <v>84054324.73</v>
      </c>
      <c r="R118" s="71">
        <f>+Q118/C118</f>
        <v>1.3322380491385697</v>
      </c>
      <c r="S118" s="70">
        <f aca="true" t="shared" si="46" ref="S118:S143">+C118-Q118</f>
        <v>-20961752.96</v>
      </c>
      <c r="T118" s="71">
        <f aca="true" t="shared" si="47" ref="T118:T143">+S118/C118</f>
        <v>-0.33223804913856975</v>
      </c>
      <c r="U118" s="89">
        <f>+U119+U120+U121+U122+U124+U125+U127+U129+U130+U131</f>
        <v>0</v>
      </c>
      <c r="V118" s="68">
        <f>+U118/C118</f>
        <v>0</v>
      </c>
    </row>
    <row r="119" spans="1:28" s="3" customFormat="1" ht="15">
      <c r="A119" s="97" t="s">
        <v>97</v>
      </c>
      <c r="B119" s="23" t="s">
        <v>61</v>
      </c>
      <c r="C119" s="38">
        <f>4100000*12-5000000</f>
        <v>44200000</v>
      </c>
      <c r="D119" s="39">
        <f>1400000+14577175.35</f>
        <v>15977175.35</v>
      </c>
      <c r="E119" s="39">
        <v>11901824.16</v>
      </c>
      <c r="F119" s="38">
        <v>3295198.81</v>
      </c>
      <c r="G119" s="38">
        <v>4181212.28</v>
      </c>
      <c r="H119" s="38">
        <v>3882698.5</v>
      </c>
      <c r="I119" s="38">
        <v>4164794.44</v>
      </c>
      <c r="J119" s="38">
        <v>4728448.39</v>
      </c>
      <c r="K119" s="38">
        <v>4728159.3</v>
      </c>
      <c r="L119" s="38">
        <v>4139455.35</v>
      </c>
      <c r="M119" s="38">
        <v>4331197.37</v>
      </c>
      <c r="N119" s="38">
        <v>5092015.25</v>
      </c>
      <c r="O119" s="38">
        <v>4050344.58</v>
      </c>
      <c r="P119" s="38">
        <v>5681826.92</v>
      </c>
      <c r="Q119" s="87">
        <f aca="true" t="shared" si="48" ref="Q119:Q143">SUM(E119:P119)</f>
        <v>60177175.35</v>
      </c>
      <c r="R119" s="88">
        <f>+Q119/(D119+C119)</f>
        <v>1</v>
      </c>
      <c r="S119" s="87">
        <f t="shared" si="46"/>
        <v>-15977175.350000001</v>
      </c>
      <c r="T119" s="88">
        <f t="shared" si="47"/>
        <v>-0.3614745554298643</v>
      </c>
      <c r="U119" s="87">
        <f aca="true" t="shared" si="49" ref="U119:U143">+C119+D119-Q119</f>
        <v>0</v>
      </c>
      <c r="V119" s="88">
        <f>+U119/C119</f>
        <v>0</v>
      </c>
      <c r="AB119" s="2"/>
    </row>
    <row r="120" spans="1:28" s="3" customFormat="1" ht="15">
      <c r="A120" s="97" t="s">
        <v>98</v>
      </c>
      <c r="B120" s="23" t="s">
        <v>62</v>
      </c>
      <c r="C120" s="38">
        <f>800000*12+5000000+1000000+1300000</f>
        <v>16900000</v>
      </c>
      <c r="D120" s="39">
        <v>4983672.61</v>
      </c>
      <c r="E120" s="39">
        <v>3800360.21</v>
      </c>
      <c r="F120" s="38">
        <v>1701392.82</v>
      </c>
      <c r="G120" s="38">
        <v>1680689.46</v>
      </c>
      <c r="H120" s="38">
        <v>1188573.12</v>
      </c>
      <c r="I120" s="38">
        <v>1838513.05</v>
      </c>
      <c r="J120" s="38">
        <v>1889560.5</v>
      </c>
      <c r="K120" s="38">
        <v>1787859.13</v>
      </c>
      <c r="L120" s="38">
        <v>1707819.19</v>
      </c>
      <c r="M120" s="38">
        <v>1241146.72</v>
      </c>
      <c r="N120" s="38">
        <v>1673669.05</v>
      </c>
      <c r="O120" s="38">
        <v>1727155.71</v>
      </c>
      <c r="P120" s="38">
        <v>1646933.65</v>
      </c>
      <c r="Q120" s="87">
        <f t="shared" si="48"/>
        <v>21883672.61</v>
      </c>
      <c r="R120" s="88">
        <f>+Q120/(D120+C120)</f>
        <v>1</v>
      </c>
      <c r="S120" s="87">
        <f t="shared" si="46"/>
        <v>-4983672.609999999</v>
      </c>
      <c r="T120" s="88">
        <f t="shared" si="47"/>
        <v>-0.2948918704142012</v>
      </c>
      <c r="U120" s="87">
        <f t="shared" si="49"/>
        <v>0</v>
      </c>
      <c r="V120" s="88">
        <f>+U120/C120</f>
        <v>0</v>
      </c>
      <c r="AB120" s="2"/>
    </row>
    <row r="121" spans="1:28" s="3" customFormat="1" ht="15">
      <c r="A121" s="97" t="s">
        <v>99</v>
      </c>
      <c r="B121" s="23" t="s">
        <v>63</v>
      </c>
      <c r="C121" s="38">
        <f>100000*12-941690.31</f>
        <v>258309.68999999994</v>
      </c>
      <c r="D121" s="39"/>
      <c r="E121" s="39">
        <v>28993</v>
      </c>
      <c r="F121" s="38">
        <v>26280</v>
      </c>
      <c r="G121" s="38">
        <v>0</v>
      </c>
      <c r="H121" s="38">
        <v>37938</v>
      </c>
      <c r="I121" s="38">
        <v>32472</v>
      </c>
      <c r="J121" s="38">
        <v>3500</v>
      </c>
      <c r="K121" s="38">
        <v>72738.69</v>
      </c>
      <c r="L121" s="38">
        <v>6000</v>
      </c>
      <c r="M121" s="38">
        <v>15912</v>
      </c>
      <c r="N121" s="38">
        <v>21216</v>
      </c>
      <c r="O121" s="38">
        <v>13260</v>
      </c>
      <c r="P121" s="38">
        <v>0</v>
      </c>
      <c r="Q121" s="87">
        <f t="shared" si="48"/>
        <v>258309.69</v>
      </c>
      <c r="R121" s="88">
        <v>0</v>
      </c>
      <c r="S121" s="87">
        <f t="shared" si="46"/>
        <v>0</v>
      </c>
      <c r="T121" s="88">
        <f t="shared" si="47"/>
        <v>0</v>
      </c>
      <c r="U121" s="87">
        <f t="shared" si="49"/>
        <v>0</v>
      </c>
      <c r="V121" s="88">
        <f>+U121/C121</f>
        <v>0</v>
      </c>
      <c r="AB121" s="2"/>
    </row>
    <row r="122" spans="1:29" s="7" customFormat="1" ht="15">
      <c r="A122" s="128" t="s">
        <v>129</v>
      </c>
      <c r="B122" s="23" t="s">
        <v>64</v>
      </c>
      <c r="C122" s="38">
        <f>1000-721</f>
        <v>279</v>
      </c>
      <c r="D122" s="39"/>
      <c r="E122" s="39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279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87">
        <f t="shared" si="48"/>
        <v>279</v>
      </c>
      <c r="R122" s="88">
        <f aca="true" t="shared" si="50" ref="R122:R131">+Q122/C122</f>
        <v>1</v>
      </c>
      <c r="S122" s="87">
        <f t="shared" si="46"/>
        <v>0</v>
      </c>
      <c r="T122" s="88">
        <f t="shared" si="47"/>
        <v>0</v>
      </c>
      <c r="U122" s="87">
        <f t="shared" si="49"/>
        <v>0</v>
      </c>
      <c r="V122" s="88">
        <f aca="true" t="shared" si="51" ref="V122:V131">+U122/C122</f>
        <v>0</v>
      </c>
      <c r="W122" s="3"/>
      <c r="X122" s="3"/>
      <c r="Y122" s="3"/>
      <c r="Z122" s="3"/>
      <c r="AA122" s="3"/>
      <c r="AB122" s="2"/>
      <c r="AC122" s="2"/>
    </row>
    <row r="123" spans="1:29" s="7" customFormat="1" ht="15" hidden="1">
      <c r="A123" s="97" t="s">
        <v>129</v>
      </c>
      <c r="B123" s="23" t="s">
        <v>64</v>
      </c>
      <c r="C123" s="38"/>
      <c r="D123" s="39"/>
      <c r="E123" s="39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87">
        <f t="shared" si="48"/>
        <v>0</v>
      </c>
      <c r="R123" s="88" t="e">
        <f t="shared" si="50"/>
        <v>#DIV/0!</v>
      </c>
      <c r="S123" s="87">
        <f t="shared" si="46"/>
        <v>0</v>
      </c>
      <c r="T123" s="88" t="e">
        <f t="shared" si="47"/>
        <v>#DIV/0!</v>
      </c>
      <c r="U123" s="87">
        <f t="shared" si="49"/>
        <v>0</v>
      </c>
      <c r="V123" s="88" t="e">
        <f t="shared" si="51"/>
        <v>#DIV/0!</v>
      </c>
      <c r="W123" s="3"/>
      <c r="X123" s="3"/>
      <c r="Y123" s="3"/>
      <c r="Z123" s="3"/>
      <c r="AA123" s="3"/>
      <c r="AB123" s="2"/>
      <c r="AC123" s="2"/>
    </row>
    <row r="124" spans="1:29" s="7" customFormat="1" ht="15">
      <c r="A124" s="97" t="s">
        <v>100</v>
      </c>
      <c r="B124" s="23" t="s">
        <v>65</v>
      </c>
      <c r="C124" s="38">
        <f>100000*12+124131.95</f>
        <v>1324131.95</v>
      </c>
      <c r="D124" s="39"/>
      <c r="E124" s="39">
        <v>57806.04</v>
      </c>
      <c r="F124" s="38">
        <v>56949.7</v>
      </c>
      <c r="G124" s="38">
        <v>58253.07</v>
      </c>
      <c r="H124" s="38">
        <v>56274.63</v>
      </c>
      <c r="I124" s="38">
        <v>697515.73</v>
      </c>
      <c r="J124" s="38">
        <v>55012.1</v>
      </c>
      <c r="K124" s="38">
        <v>54439.83</v>
      </c>
      <c r="L124" s="38">
        <v>58463.84</v>
      </c>
      <c r="M124" s="38">
        <v>56949.34</v>
      </c>
      <c r="N124" s="38">
        <v>59453.8</v>
      </c>
      <c r="O124" s="38">
        <v>58907.14</v>
      </c>
      <c r="P124" s="38">
        <v>54106.73</v>
      </c>
      <c r="Q124" s="87">
        <f t="shared" si="48"/>
        <v>1324131.95</v>
      </c>
      <c r="R124" s="88">
        <f t="shared" si="50"/>
        <v>1</v>
      </c>
      <c r="S124" s="87">
        <f t="shared" si="46"/>
        <v>0</v>
      </c>
      <c r="T124" s="88">
        <f t="shared" si="47"/>
        <v>0</v>
      </c>
      <c r="U124" s="87">
        <f t="shared" si="49"/>
        <v>0</v>
      </c>
      <c r="V124" s="88">
        <f t="shared" si="51"/>
        <v>0</v>
      </c>
      <c r="W124" s="3"/>
      <c r="X124" s="3"/>
      <c r="Y124" s="3"/>
      <c r="Z124" s="3"/>
      <c r="AA124" s="3"/>
      <c r="AB124" s="2"/>
      <c r="AC124" s="2"/>
    </row>
    <row r="125" spans="1:29" s="7" customFormat="1" ht="15">
      <c r="A125" s="32" t="s">
        <v>130</v>
      </c>
      <c r="B125" s="23" t="s">
        <v>131</v>
      </c>
      <c r="C125" s="38">
        <f>100000-92944</f>
        <v>7056</v>
      </c>
      <c r="D125" s="39"/>
      <c r="E125" s="39">
        <v>0</v>
      </c>
      <c r="F125" s="38">
        <v>1400</v>
      </c>
      <c r="G125" s="38">
        <v>5656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87">
        <f t="shared" si="48"/>
        <v>7056</v>
      </c>
      <c r="R125" s="88">
        <f t="shared" si="50"/>
        <v>1</v>
      </c>
      <c r="S125" s="87">
        <f t="shared" si="46"/>
        <v>0</v>
      </c>
      <c r="T125" s="88">
        <f t="shared" si="47"/>
        <v>0</v>
      </c>
      <c r="U125" s="87">
        <f t="shared" si="49"/>
        <v>0</v>
      </c>
      <c r="V125" s="88">
        <f t="shared" si="51"/>
        <v>0</v>
      </c>
      <c r="W125" s="3"/>
      <c r="X125" s="3"/>
      <c r="Y125" s="3"/>
      <c r="Z125" s="3"/>
      <c r="AA125" s="3"/>
      <c r="AB125" s="2"/>
      <c r="AC125" s="2"/>
    </row>
    <row r="126" spans="1:29" s="7" customFormat="1" ht="30" hidden="1">
      <c r="A126" s="83" t="s">
        <v>101</v>
      </c>
      <c r="B126" s="28" t="s">
        <v>171</v>
      </c>
      <c r="C126" s="38"/>
      <c r="D126" s="39"/>
      <c r="E126" s="39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87">
        <f t="shared" si="48"/>
        <v>0</v>
      </c>
      <c r="R126" s="88" t="e">
        <f t="shared" si="50"/>
        <v>#DIV/0!</v>
      </c>
      <c r="S126" s="87">
        <f t="shared" si="46"/>
        <v>0</v>
      </c>
      <c r="T126" s="88" t="e">
        <f t="shared" si="47"/>
        <v>#DIV/0!</v>
      </c>
      <c r="U126" s="87">
        <f t="shared" si="49"/>
        <v>0</v>
      </c>
      <c r="V126" s="88" t="e">
        <f t="shared" si="51"/>
        <v>#DIV/0!</v>
      </c>
      <c r="W126" s="3"/>
      <c r="X126" s="3"/>
      <c r="Y126" s="3"/>
      <c r="Z126" s="3"/>
      <c r="AA126" s="3"/>
      <c r="AB126" s="2"/>
      <c r="AC126" s="2"/>
    </row>
    <row r="127" spans="1:29" s="7" customFormat="1" ht="30">
      <c r="A127" s="83" t="s">
        <v>216</v>
      </c>
      <c r="B127" s="28" t="s">
        <v>217</v>
      </c>
      <c r="C127" s="38">
        <f>10000-8499.68</f>
        <v>1500.3199999999997</v>
      </c>
      <c r="D127" s="39"/>
      <c r="E127" s="39">
        <v>0</v>
      </c>
      <c r="F127" s="38">
        <v>0</v>
      </c>
      <c r="G127" s="38">
        <v>1132.32</v>
      </c>
      <c r="H127" s="38">
        <v>368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87">
        <f t="shared" si="48"/>
        <v>1500.32</v>
      </c>
      <c r="R127" s="88">
        <f t="shared" si="50"/>
        <v>1.0000000000000002</v>
      </c>
      <c r="S127" s="87">
        <f t="shared" si="46"/>
        <v>0</v>
      </c>
      <c r="T127" s="88">
        <f t="shared" si="47"/>
        <v>0</v>
      </c>
      <c r="U127" s="87">
        <f t="shared" si="49"/>
        <v>0</v>
      </c>
      <c r="V127" s="88">
        <f t="shared" si="51"/>
        <v>0</v>
      </c>
      <c r="W127" s="3"/>
      <c r="X127" s="3"/>
      <c r="Y127" s="3"/>
      <c r="Z127" s="3"/>
      <c r="AA127" s="3"/>
      <c r="AB127" s="2"/>
      <c r="AC127" s="2"/>
    </row>
    <row r="128" spans="1:29" s="7" customFormat="1" ht="15">
      <c r="A128" s="83" t="s">
        <v>335</v>
      </c>
      <c r="B128" s="30" t="s">
        <v>336</v>
      </c>
      <c r="C128" s="38">
        <f>1000-375-20</f>
        <v>605</v>
      </c>
      <c r="D128" s="39"/>
      <c r="E128" s="39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605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87">
        <f>SUM(E128:P128)</f>
        <v>605</v>
      </c>
      <c r="R128" s="88">
        <f>+Q128/C128</f>
        <v>1</v>
      </c>
      <c r="S128" s="87">
        <f>+C128-Q128</f>
        <v>0</v>
      </c>
      <c r="T128" s="88">
        <f>+S128/C128</f>
        <v>0</v>
      </c>
      <c r="U128" s="87">
        <f>+C128+D128-Q128</f>
        <v>0</v>
      </c>
      <c r="V128" s="88">
        <f>+U128/C128</f>
        <v>0</v>
      </c>
      <c r="W128" s="3"/>
      <c r="X128" s="3"/>
      <c r="Y128" s="3"/>
      <c r="Z128" s="3"/>
      <c r="AA128" s="3"/>
      <c r="AB128" s="2"/>
      <c r="AC128" s="2"/>
    </row>
    <row r="129" spans="1:29" s="7" customFormat="1" ht="15">
      <c r="A129" s="83" t="s">
        <v>331</v>
      </c>
      <c r="B129" s="30" t="s">
        <v>332</v>
      </c>
      <c r="C129" s="38">
        <f>1000-700</f>
        <v>300</v>
      </c>
      <c r="D129" s="39"/>
      <c r="E129" s="39">
        <v>0</v>
      </c>
      <c r="F129" s="38">
        <v>0</v>
      </c>
      <c r="G129" s="38">
        <v>0</v>
      </c>
      <c r="H129" s="38">
        <v>0</v>
      </c>
      <c r="I129" s="38">
        <v>300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87">
        <f>SUM(E129:P129)</f>
        <v>300</v>
      </c>
      <c r="R129" s="88">
        <f>+Q129/C129</f>
        <v>1</v>
      </c>
      <c r="S129" s="87">
        <f>+C129-Q129</f>
        <v>0</v>
      </c>
      <c r="T129" s="88">
        <f>+S129/C129</f>
        <v>0</v>
      </c>
      <c r="U129" s="87">
        <f>+C129+D129-Q129</f>
        <v>0</v>
      </c>
      <c r="V129" s="88">
        <f>+U129/C129</f>
        <v>0</v>
      </c>
      <c r="W129" s="3"/>
      <c r="X129" s="3"/>
      <c r="Y129" s="3"/>
      <c r="Z129" s="3"/>
      <c r="AA129" s="3"/>
      <c r="AB129" s="2"/>
      <c r="AC129" s="2"/>
    </row>
    <row r="130" spans="1:29" s="7" customFormat="1" ht="30">
      <c r="A130" s="83" t="s">
        <v>101</v>
      </c>
      <c r="B130" s="30" t="s">
        <v>171</v>
      </c>
      <c r="C130" s="38">
        <f>100000*12-812044.47</f>
        <v>387955.53</v>
      </c>
      <c r="D130" s="39"/>
      <c r="E130" s="39">
        <v>552</v>
      </c>
      <c r="F130" s="38">
        <v>2055</v>
      </c>
      <c r="G130" s="38">
        <v>2000</v>
      </c>
      <c r="H130" s="38">
        <v>1050</v>
      </c>
      <c r="I130" s="38">
        <v>4701.99</v>
      </c>
      <c r="J130" s="38">
        <v>1219.99</v>
      </c>
      <c r="K130" s="38">
        <v>0</v>
      </c>
      <c r="L130" s="38">
        <v>290</v>
      </c>
      <c r="M130" s="38">
        <v>490.01</v>
      </c>
      <c r="N130" s="38">
        <v>375596.54</v>
      </c>
      <c r="O130" s="38">
        <v>0</v>
      </c>
      <c r="P130" s="38">
        <v>0</v>
      </c>
      <c r="Q130" s="87">
        <f t="shared" si="48"/>
        <v>387955.52999999997</v>
      </c>
      <c r="R130" s="88">
        <f t="shared" si="50"/>
        <v>0.9999999999999999</v>
      </c>
      <c r="S130" s="87">
        <f t="shared" si="46"/>
        <v>0</v>
      </c>
      <c r="T130" s="88">
        <f t="shared" si="47"/>
        <v>0</v>
      </c>
      <c r="U130" s="87">
        <f t="shared" si="49"/>
        <v>0</v>
      </c>
      <c r="V130" s="88">
        <f t="shared" si="51"/>
        <v>0</v>
      </c>
      <c r="W130" s="3"/>
      <c r="X130" s="3"/>
      <c r="Y130" s="3"/>
      <c r="Z130" s="3"/>
      <c r="AA130" s="3"/>
      <c r="AB130" s="2"/>
      <c r="AC130" s="2"/>
    </row>
    <row r="131" spans="1:29" s="7" customFormat="1" ht="15">
      <c r="A131" s="83" t="s">
        <v>125</v>
      </c>
      <c r="B131" s="28" t="s">
        <v>138</v>
      </c>
      <c r="C131" s="38">
        <f>50000-36660.72</f>
        <v>13339.279999999999</v>
      </c>
      <c r="D131" s="39"/>
      <c r="E131" s="39">
        <v>2058.22</v>
      </c>
      <c r="F131" s="38">
        <v>300</v>
      </c>
      <c r="G131" s="38">
        <v>1376</v>
      </c>
      <c r="H131" s="38">
        <v>1730.46</v>
      </c>
      <c r="I131" s="38">
        <v>1776</v>
      </c>
      <c r="J131" s="38">
        <v>2699.98</v>
      </c>
      <c r="K131" s="38">
        <v>1500.02</v>
      </c>
      <c r="L131" s="38">
        <v>0</v>
      </c>
      <c r="M131" s="38">
        <v>0</v>
      </c>
      <c r="N131" s="38">
        <v>1898.6</v>
      </c>
      <c r="O131" s="38">
        <v>0</v>
      </c>
      <c r="P131" s="38">
        <v>0</v>
      </c>
      <c r="Q131" s="87">
        <f t="shared" si="48"/>
        <v>13339.28</v>
      </c>
      <c r="R131" s="88">
        <f t="shared" si="50"/>
        <v>1.0000000000000002</v>
      </c>
      <c r="S131" s="87">
        <f t="shared" si="46"/>
        <v>0</v>
      </c>
      <c r="T131" s="88">
        <f t="shared" si="47"/>
        <v>0</v>
      </c>
      <c r="U131" s="87">
        <f t="shared" si="49"/>
        <v>0</v>
      </c>
      <c r="V131" s="88">
        <f t="shared" si="51"/>
        <v>0</v>
      </c>
      <c r="W131" s="3"/>
      <c r="X131" s="3"/>
      <c r="Y131" s="3"/>
      <c r="Z131" s="3"/>
      <c r="AA131" s="3"/>
      <c r="AB131" s="2"/>
      <c r="AC131" s="2"/>
    </row>
    <row r="132" spans="1:29" s="7" customFormat="1" ht="15">
      <c r="A132" s="20" t="s">
        <v>66</v>
      </c>
      <c r="B132" s="8" t="s">
        <v>269</v>
      </c>
      <c r="C132" s="66">
        <f>+C133+C134+C135+C136+C137+C138+C139+C141+C143</f>
        <v>7484336.710000001</v>
      </c>
      <c r="D132" s="66">
        <f>+D133+D134+D135+D136+D137+D138+D139+D141+D143</f>
        <v>0</v>
      </c>
      <c r="E132" s="66">
        <f>+E133+E134+E135+E136+E137+E138+E139+E141+E143</f>
        <v>10629.99</v>
      </c>
      <c r="F132" s="66">
        <f>+F133+F134+F135+F136+F137+F138+F139+F140+F141+F143</f>
        <v>1156585.8</v>
      </c>
      <c r="G132" s="66">
        <f>+G133+G134+G135+G136+G137+G138+G139+G141+G143</f>
        <v>892848.58</v>
      </c>
      <c r="H132" s="66">
        <f>+H133+H134+H135+H136+H137+H138+H139+H141+H143</f>
        <v>837286.6599999999</v>
      </c>
      <c r="I132" s="66">
        <f aca="true" t="shared" si="52" ref="I132:P132">+I133+I134+I136+I137+I138+I139+I141+I143</f>
        <v>989512.2600000001</v>
      </c>
      <c r="J132" s="66">
        <f t="shared" si="52"/>
        <v>18534.09</v>
      </c>
      <c r="K132" s="66">
        <f t="shared" si="52"/>
        <v>8912.51</v>
      </c>
      <c r="L132" s="66">
        <f>+L133+L134+L135+L136+L137+L138+L139+L140+L141+L143</f>
        <v>1081735.6</v>
      </c>
      <c r="M132" s="66">
        <f t="shared" si="52"/>
        <v>844353.95</v>
      </c>
      <c r="N132" s="66">
        <f t="shared" si="52"/>
        <v>158795.80000000002</v>
      </c>
      <c r="O132" s="66">
        <f t="shared" si="52"/>
        <v>1321535.25</v>
      </c>
      <c r="P132" s="66">
        <f t="shared" si="52"/>
        <v>158924.4</v>
      </c>
      <c r="Q132" s="70">
        <f>+Q133+Q134+Q135+Q136+Q137+Q138+Q139+Q140+Q141+Q142+Q143</f>
        <v>7667274.890000001</v>
      </c>
      <c r="R132" s="71">
        <f>+Q132/(C132+D132)</f>
        <v>1.0244428046316478</v>
      </c>
      <c r="S132" s="70">
        <f t="shared" si="46"/>
        <v>-182938.1799999997</v>
      </c>
      <c r="T132" s="71">
        <f t="shared" si="47"/>
        <v>-0.024442804631647802</v>
      </c>
      <c r="U132" s="89">
        <f>+U133+U134+U135+U136+U137+U138+U139+U140+U141+U143</f>
        <v>21781.820000000065</v>
      </c>
      <c r="V132" s="71">
        <f aca="true" t="shared" si="53" ref="V132:V143">+U132/C132</f>
        <v>0.002910320692934199</v>
      </c>
      <c r="W132" s="3"/>
      <c r="X132" s="3"/>
      <c r="Y132" s="3"/>
      <c r="Z132" s="3"/>
      <c r="AA132" s="3"/>
      <c r="AB132" s="2"/>
      <c r="AC132" s="2"/>
    </row>
    <row r="133" spans="1:29" s="7" customFormat="1" ht="15">
      <c r="A133" s="95" t="s">
        <v>102</v>
      </c>
      <c r="B133" s="23" t="s">
        <v>288</v>
      </c>
      <c r="C133" s="38">
        <f>300000*12-1500000-801769.88</f>
        <v>1298230.12</v>
      </c>
      <c r="D133" s="39"/>
      <c r="E133" s="39">
        <v>0</v>
      </c>
      <c r="F133" s="38">
        <v>0</v>
      </c>
      <c r="G133" s="38">
        <v>0</v>
      </c>
      <c r="H133" s="38">
        <v>416</v>
      </c>
      <c r="I133" s="38">
        <v>625028.3</v>
      </c>
      <c r="J133" s="38">
        <v>1350</v>
      </c>
      <c r="K133" s="38">
        <v>0</v>
      </c>
      <c r="L133" s="38">
        <v>671168.92</v>
      </c>
      <c r="M133" s="38">
        <v>0</v>
      </c>
      <c r="N133" s="38">
        <v>0</v>
      </c>
      <c r="O133" s="38">
        <v>0</v>
      </c>
      <c r="P133" s="38">
        <v>266.9</v>
      </c>
      <c r="Q133" s="87">
        <f t="shared" si="48"/>
        <v>1298230.12</v>
      </c>
      <c r="R133" s="88">
        <f aca="true" t="shared" si="54" ref="R133:R143">+Q133/C133</f>
        <v>1</v>
      </c>
      <c r="S133" s="87">
        <f t="shared" si="46"/>
        <v>0</v>
      </c>
      <c r="T133" s="88">
        <f t="shared" si="47"/>
        <v>0</v>
      </c>
      <c r="U133" s="87">
        <f t="shared" si="49"/>
        <v>0</v>
      </c>
      <c r="V133" s="88">
        <f t="shared" si="53"/>
        <v>0</v>
      </c>
      <c r="W133" s="3"/>
      <c r="X133" s="3"/>
      <c r="Y133" s="3"/>
      <c r="Z133" s="3"/>
      <c r="AA133" s="3"/>
      <c r="AB133" s="2"/>
      <c r="AC133" s="2"/>
    </row>
    <row r="134" spans="1:29" s="7" customFormat="1" ht="33.75" customHeight="1">
      <c r="A134" s="94" t="s">
        <v>103</v>
      </c>
      <c r="B134" s="28" t="s">
        <v>172</v>
      </c>
      <c r="C134" s="38">
        <f>330000*12-1000000-176656.7</f>
        <v>2783343.3</v>
      </c>
      <c r="D134" s="39"/>
      <c r="E134" s="39">
        <v>0</v>
      </c>
      <c r="F134" s="38">
        <v>370520</v>
      </c>
      <c r="G134" s="38">
        <v>768906.13</v>
      </c>
      <c r="H134" s="38">
        <v>827665.2</v>
      </c>
      <c r="I134" s="38">
        <v>0</v>
      </c>
      <c r="J134" s="38">
        <v>15740</v>
      </c>
      <c r="K134" s="38">
        <v>0</v>
      </c>
      <c r="L134" s="38">
        <v>1000</v>
      </c>
      <c r="M134" s="38">
        <v>704362.96</v>
      </c>
      <c r="N134" s="38">
        <v>1886.01</v>
      </c>
      <c r="O134" s="38">
        <v>32652</v>
      </c>
      <c r="P134" s="38">
        <v>60611</v>
      </c>
      <c r="Q134" s="87">
        <f t="shared" si="48"/>
        <v>2783343.3</v>
      </c>
      <c r="R134" s="88">
        <f t="shared" si="54"/>
        <v>1</v>
      </c>
      <c r="S134" s="87">
        <f t="shared" si="46"/>
        <v>0</v>
      </c>
      <c r="T134" s="88">
        <f t="shared" si="47"/>
        <v>0</v>
      </c>
      <c r="U134" s="87">
        <f t="shared" si="49"/>
        <v>0</v>
      </c>
      <c r="V134" s="88">
        <f t="shared" si="53"/>
        <v>0</v>
      </c>
      <c r="W134" s="3"/>
      <c r="X134" s="3"/>
      <c r="Y134" s="3"/>
      <c r="Z134" s="3"/>
      <c r="AA134" s="3"/>
      <c r="AB134" s="2"/>
      <c r="AC134" s="2"/>
    </row>
    <row r="135" spans="1:29" s="7" customFormat="1" ht="30">
      <c r="A135" s="94" t="s">
        <v>233</v>
      </c>
      <c r="B135" s="28" t="s">
        <v>234</v>
      </c>
      <c r="C135" s="38">
        <f>50000-47296</f>
        <v>2704</v>
      </c>
      <c r="D135" s="39"/>
      <c r="E135" s="39">
        <v>2704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87">
        <f t="shared" si="48"/>
        <v>2704</v>
      </c>
      <c r="R135" s="88">
        <f t="shared" si="54"/>
        <v>1</v>
      </c>
      <c r="S135" s="87">
        <f t="shared" si="46"/>
        <v>0</v>
      </c>
      <c r="T135" s="88">
        <f t="shared" si="47"/>
        <v>0</v>
      </c>
      <c r="U135" s="87">
        <f t="shared" si="49"/>
        <v>0</v>
      </c>
      <c r="V135" s="88">
        <f t="shared" si="53"/>
        <v>0</v>
      </c>
      <c r="W135" s="3"/>
      <c r="X135" s="3"/>
      <c r="Y135" s="3"/>
      <c r="Z135" s="3"/>
      <c r="AA135" s="3"/>
      <c r="AB135" s="2"/>
      <c r="AC135" s="2"/>
    </row>
    <row r="136" spans="1:29" s="7" customFormat="1" ht="30">
      <c r="A136" s="94" t="s">
        <v>126</v>
      </c>
      <c r="B136" s="28" t="s">
        <v>169</v>
      </c>
      <c r="C136" s="38">
        <f>20000+200000+90000+71408.63</f>
        <v>381408.63</v>
      </c>
      <c r="D136" s="39"/>
      <c r="E136" s="39">
        <v>442</v>
      </c>
      <c r="F136" s="38">
        <v>0</v>
      </c>
      <c r="G136" s="38">
        <v>0</v>
      </c>
      <c r="H136" s="38">
        <v>0</v>
      </c>
      <c r="I136" s="38">
        <v>200182.55</v>
      </c>
      <c r="J136" s="38">
        <v>0</v>
      </c>
      <c r="K136" s="38">
        <v>0</v>
      </c>
      <c r="L136" s="38">
        <v>90000</v>
      </c>
      <c r="M136" s="38">
        <v>0</v>
      </c>
      <c r="N136" s="38">
        <v>0</v>
      </c>
      <c r="O136" s="38">
        <v>90784.08</v>
      </c>
      <c r="P136" s="38">
        <v>0</v>
      </c>
      <c r="Q136" s="87">
        <f t="shared" si="48"/>
        <v>381408.63</v>
      </c>
      <c r="R136" s="88">
        <f t="shared" si="54"/>
        <v>1</v>
      </c>
      <c r="S136" s="87">
        <f t="shared" si="46"/>
        <v>0</v>
      </c>
      <c r="T136" s="88">
        <f t="shared" si="47"/>
        <v>0</v>
      </c>
      <c r="U136" s="87">
        <f t="shared" si="49"/>
        <v>0</v>
      </c>
      <c r="V136" s="88">
        <f t="shared" si="53"/>
        <v>0</v>
      </c>
      <c r="W136" s="3"/>
      <c r="X136" s="3"/>
      <c r="Y136" s="3"/>
      <c r="Z136" s="3"/>
      <c r="AA136" s="3"/>
      <c r="AB136" s="2"/>
      <c r="AC136" s="2"/>
    </row>
    <row r="137" spans="1:29" s="7" customFormat="1" ht="30">
      <c r="A137" s="94" t="s">
        <v>104</v>
      </c>
      <c r="B137" s="28" t="s">
        <v>182</v>
      </c>
      <c r="C137" s="38">
        <f>150000*12-700000+742258.3+21781.82</f>
        <v>1864040.12</v>
      </c>
      <c r="D137" s="39"/>
      <c r="E137" s="39">
        <v>0</v>
      </c>
      <c r="F137" s="38">
        <v>512810.08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135818</v>
      </c>
      <c r="N137" s="38">
        <v>0</v>
      </c>
      <c r="O137" s="38">
        <v>1193630.22</v>
      </c>
      <c r="P137" s="38">
        <v>0</v>
      </c>
      <c r="Q137" s="87">
        <f t="shared" si="48"/>
        <v>1842258.3</v>
      </c>
      <c r="R137" s="88">
        <f t="shared" si="54"/>
        <v>0.9883147257581558</v>
      </c>
      <c r="S137" s="87">
        <f t="shared" si="46"/>
        <v>21781.820000000065</v>
      </c>
      <c r="T137" s="88">
        <f t="shared" si="47"/>
        <v>0.011685274241844143</v>
      </c>
      <c r="U137" s="87">
        <f t="shared" si="49"/>
        <v>21781.820000000065</v>
      </c>
      <c r="V137" s="88">
        <f t="shared" si="53"/>
        <v>0.011685274241844143</v>
      </c>
      <c r="W137" s="3"/>
      <c r="X137" s="3"/>
      <c r="Y137" s="3"/>
      <c r="Z137" s="3"/>
      <c r="AA137" s="3"/>
      <c r="AB137" s="2"/>
      <c r="AC137" s="2"/>
    </row>
    <row r="138" spans="1:29" s="7" customFormat="1" ht="15">
      <c r="A138" s="94" t="s">
        <v>105</v>
      </c>
      <c r="B138" s="28" t="s">
        <v>183</v>
      </c>
      <c r="C138" s="38">
        <f>40000*12-127744.59</f>
        <v>352255.41000000003</v>
      </c>
      <c r="D138" s="39"/>
      <c r="E138" s="39">
        <v>0</v>
      </c>
      <c r="F138" s="38">
        <v>91686</v>
      </c>
      <c r="G138" s="38">
        <v>0</v>
      </c>
      <c r="H138" s="38">
        <v>0</v>
      </c>
      <c r="I138" s="38">
        <v>163701.4</v>
      </c>
      <c r="J138" s="38">
        <v>0</v>
      </c>
      <c r="K138" s="38">
        <v>580.01</v>
      </c>
      <c r="L138" s="38">
        <v>0</v>
      </c>
      <c r="M138" s="38">
        <v>0</v>
      </c>
      <c r="N138" s="38">
        <v>0</v>
      </c>
      <c r="O138" s="38">
        <v>0</v>
      </c>
      <c r="P138" s="38">
        <v>96288</v>
      </c>
      <c r="Q138" s="87">
        <f t="shared" si="48"/>
        <v>352255.41000000003</v>
      </c>
      <c r="R138" s="88">
        <f t="shared" si="54"/>
        <v>1</v>
      </c>
      <c r="S138" s="87">
        <f t="shared" si="46"/>
        <v>0</v>
      </c>
      <c r="T138" s="88">
        <f t="shared" si="47"/>
        <v>0</v>
      </c>
      <c r="U138" s="87">
        <f t="shared" si="49"/>
        <v>0</v>
      </c>
      <c r="V138" s="88">
        <f t="shared" si="53"/>
        <v>0</v>
      </c>
      <c r="W138" s="3"/>
      <c r="X138" s="3"/>
      <c r="Y138" s="3"/>
      <c r="Z138" s="3"/>
      <c r="AA138" s="3"/>
      <c r="AB138" s="2"/>
      <c r="AC138" s="2"/>
    </row>
    <row r="139" spans="1:29" s="7" customFormat="1" ht="15">
      <c r="A139" s="94" t="s">
        <v>106</v>
      </c>
      <c r="B139" s="28" t="s">
        <v>67</v>
      </c>
      <c r="C139" s="38">
        <f>50000*12-150000+150000+159130.81</f>
        <v>759130.81</v>
      </c>
      <c r="D139" s="39"/>
      <c r="E139" s="39">
        <v>3023.99</v>
      </c>
      <c r="F139" s="38">
        <v>160472.92</v>
      </c>
      <c r="G139" s="38">
        <v>114869.46</v>
      </c>
      <c r="H139" s="38">
        <v>175</v>
      </c>
      <c r="I139" s="38">
        <v>600.01</v>
      </c>
      <c r="J139" s="38">
        <v>1444.09</v>
      </c>
      <c r="K139" s="38">
        <v>4449.5</v>
      </c>
      <c r="L139" s="38">
        <v>309366.07</v>
      </c>
      <c r="M139" s="38">
        <v>4172.99</v>
      </c>
      <c r="N139" s="38">
        <v>156909.79</v>
      </c>
      <c r="O139" s="38">
        <v>2967.99</v>
      </c>
      <c r="P139" s="38">
        <v>679</v>
      </c>
      <c r="Q139" s="87">
        <f t="shared" si="48"/>
        <v>759130.81</v>
      </c>
      <c r="R139" s="88">
        <f t="shared" si="54"/>
        <v>1</v>
      </c>
      <c r="S139" s="87">
        <f t="shared" si="46"/>
        <v>0</v>
      </c>
      <c r="T139" s="88">
        <f t="shared" si="47"/>
        <v>0</v>
      </c>
      <c r="U139" s="87">
        <f t="shared" si="49"/>
        <v>0</v>
      </c>
      <c r="V139" s="88">
        <f t="shared" si="53"/>
        <v>0</v>
      </c>
      <c r="W139" s="3"/>
      <c r="X139" s="3"/>
      <c r="Y139" s="3"/>
      <c r="Z139" s="3"/>
      <c r="AA139" s="3"/>
      <c r="AB139" s="2"/>
      <c r="AC139" s="2"/>
    </row>
    <row r="140" spans="1:29" s="7" customFormat="1" ht="15">
      <c r="A140" s="124" t="s">
        <v>318</v>
      </c>
      <c r="B140" s="28" t="s">
        <v>317</v>
      </c>
      <c r="C140" s="38">
        <f>30000-12900</f>
        <v>17100</v>
      </c>
      <c r="D140" s="39"/>
      <c r="E140" s="39"/>
      <c r="F140" s="38">
        <v>17100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87">
        <f>SUM(E140:P140)</f>
        <v>17100</v>
      </c>
      <c r="R140" s="88">
        <f>+Q140/C140</f>
        <v>1</v>
      </c>
      <c r="S140" s="87">
        <f>+C140-Q140</f>
        <v>0</v>
      </c>
      <c r="T140" s="88">
        <f>+S140/C140</f>
        <v>0</v>
      </c>
      <c r="U140" s="87">
        <f>+C140+D140-Q140</f>
        <v>0</v>
      </c>
      <c r="V140" s="88">
        <f>+U140/C140</f>
        <v>0</v>
      </c>
      <c r="W140" s="3"/>
      <c r="X140" s="3"/>
      <c r="Y140" s="3"/>
      <c r="Z140" s="3"/>
      <c r="AA140" s="3"/>
      <c r="AB140" s="2"/>
      <c r="AC140" s="2"/>
    </row>
    <row r="141" spans="1:29" s="7" customFormat="1" ht="15">
      <c r="A141" s="94" t="s">
        <v>127</v>
      </c>
      <c r="B141" s="28" t="s">
        <v>139</v>
      </c>
      <c r="C141" s="38">
        <f>50000-7855.18</f>
        <v>42144.82</v>
      </c>
      <c r="D141" s="39"/>
      <c r="E141" s="39">
        <v>4460</v>
      </c>
      <c r="F141" s="38">
        <v>3996.8</v>
      </c>
      <c r="G141" s="38">
        <v>9072.99</v>
      </c>
      <c r="H141" s="38">
        <v>9030.46</v>
      </c>
      <c r="I141" s="38">
        <v>0</v>
      </c>
      <c r="J141" s="38">
        <v>0</v>
      </c>
      <c r="K141" s="38">
        <v>3883</v>
      </c>
      <c r="L141" s="38">
        <v>10200.61</v>
      </c>
      <c r="M141" s="38">
        <v>0</v>
      </c>
      <c r="N141" s="38">
        <v>0</v>
      </c>
      <c r="O141" s="38">
        <v>1500.96</v>
      </c>
      <c r="P141" s="38">
        <v>0</v>
      </c>
      <c r="Q141" s="87">
        <f t="shared" si="48"/>
        <v>42144.82</v>
      </c>
      <c r="R141" s="88">
        <f t="shared" si="54"/>
        <v>1</v>
      </c>
      <c r="S141" s="87">
        <f t="shared" si="46"/>
        <v>0</v>
      </c>
      <c r="T141" s="88">
        <f t="shared" si="47"/>
        <v>0</v>
      </c>
      <c r="U141" s="87">
        <f t="shared" si="49"/>
        <v>0</v>
      </c>
      <c r="V141" s="88">
        <f t="shared" si="53"/>
        <v>0</v>
      </c>
      <c r="W141" s="3"/>
      <c r="X141" s="3"/>
      <c r="Y141" s="3"/>
      <c r="Z141" s="3"/>
      <c r="AA141" s="3"/>
      <c r="AB141" s="2"/>
      <c r="AC141" s="2"/>
    </row>
    <row r="142" spans="1:29" s="7" customFormat="1" ht="15">
      <c r="A142" s="122" t="s">
        <v>156</v>
      </c>
      <c r="B142" s="23" t="s">
        <v>348</v>
      </c>
      <c r="C142" s="38">
        <f>150000+37620</f>
        <v>187620</v>
      </c>
      <c r="D142" s="39"/>
      <c r="E142" s="39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102660</v>
      </c>
      <c r="L142" s="38">
        <v>0</v>
      </c>
      <c r="M142" s="38">
        <v>0</v>
      </c>
      <c r="N142" s="38">
        <v>0</v>
      </c>
      <c r="O142" s="38">
        <v>84960</v>
      </c>
      <c r="P142" s="38">
        <v>0</v>
      </c>
      <c r="Q142" s="87">
        <f>SUM(E142:P142)</f>
        <v>187620</v>
      </c>
      <c r="R142" s="88">
        <f>+Q142/C142</f>
        <v>1</v>
      </c>
      <c r="S142" s="87">
        <f>+C142-Q142</f>
        <v>0</v>
      </c>
      <c r="T142" s="88">
        <f>+S142/C142</f>
        <v>0</v>
      </c>
      <c r="U142" s="87">
        <f>+C142+D142-Q142</f>
        <v>0</v>
      </c>
      <c r="V142" s="88">
        <f>+U142/C142</f>
        <v>0</v>
      </c>
      <c r="W142" s="3"/>
      <c r="X142" s="3"/>
      <c r="Y142" s="3"/>
      <c r="Z142" s="3"/>
      <c r="AA142" s="3"/>
      <c r="AB142" s="2"/>
      <c r="AC142" s="2"/>
    </row>
    <row r="143" spans="1:29" s="7" customFormat="1" ht="15">
      <c r="A143" s="132" t="s">
        <v>345</v>
      </c>
      <c r="B143" s="23" t="s">
        <v>346</v>
      </c>
      <c r="C143" s="38">
        <v>1079.5</v>
      </c>
      <c r="D143" s="39"/>
      <c r="E143" s="39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>
        <v>1079.5</v>
      </c>
      <c r="Q143" s="87">
        <f t="shared" si="48"/>
        <v>1079.5</v>
      </c>
      <c r="R143" s="88">
        <f t="shared" si="54"/>
        <v>1</v>
      </c>
      <c r="S143" s="87">
        <f t="shared" si="46"/>
        <v>0</v>
      </c>
      <c r="T143" s="88">
        <f t="shared" si="47"/>
        <v>0</v>
      </c>
      <c r="U143" s="87">
        <f t="shared" si="49"/>
        <v>0</v>
      </c>
      <c r="V143" s="88">
        <f t="shared" si="53"/>
        <v>0</v>
      </c>
      <c r="W143" s="3"/>
      <c r="X143" s="3"/>
      <c r="Y143" s="3"/>
      <c r="Z143" s="3"/>
      <c r="AA143" s="3"/>
      <c r="AB143" s="2"/>
      <c r="AC143" s="2"/>
    </row>
    <row r="144" spans="1:29" s="7" customFormat="1" ht="15" customHeight="1" hidden="1">
      <c r="A144" s="43" t="s">
        <v>68</v>
      </c>
      <c r="B144" s="6" t="s">
        <v>347</v>
      </c>
      <c r="C144" s="3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52"/>
      <c r="R144" s="52"/>
      <c r="S144" s="56"/>
      <c r="T144" s="56"/>
      <c r="U144" s="87"/>
      <c r="V144" s="52"/>
      <c r="W144" s="3"/>
      <c r="X144" s="3"/>
      <c r="Y144" s="3"/>
      <c r="Z144" s="3"/>
      <c r="AA144" s="3"/>
      <c r="AB144" s="2"/>
      <c r="AC144" s="2"/>
    </row>
    <row r="145" spans="1:28" s="3" customFormat="1" ht="15" hidden="1">
      <c r="A145" s="43" t="s">
        <v>69</v>
      </c>
      <c r="B145" s="6" t="s">
        <v>70</v>
      </c>
      <c r="C145" s="3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52"/>
      <c r="R145" s="52"/>
      <c r="S145" s="56"/>
      <c r="T145" s="56"/>
      <c r="U145" s="87"/>
      <c r="V145" s="52"/>
      <c r="AB145" s="2"/>
    </row>
    <row r="146" spans="1:28" s="3" customFormat="1" ht="30">
      <c r="A146" s="86" t="s">
        <v>71</v>
      </c>
      <c r="B146" s="36" t="s">
        <v>270</v>
      </c>
      <c r="C146" s="66">
        <f>+C148+C149+C150+C151+C152+C153+C159+C160+C161</f>
        <v>9582922.89</v>
      </c>
      <c r="D146" s="66">
        <f>+D148+D149+D150+D151+D152+D153+D159+D160+D161</f>
        <v>0</v>
      </c>
      <c r="E146" s="66">
        <f>+E149+E150+E151+E152+E153+E159+E160+E161</f>
        <v>493409.85</v>
      </c>
      <c r="F146" s="66">
        <f>+F149+F150+F152+F153+F159+F160+F161</f>
        <v>480703.15</v>
      </c>
      <c r="G146" s="66">
        <f>+G149+G150+G151+G152+G153+G159+G160+G161</f>
        <v>289384</v>
      </c>
      <c r="H146" s="66">
        <f>+H149+H150+H151+H152+H153+H159+H160+H161</f>
        <v>481625</v>
      </c>
      <c r="I146" s="66">
        <f>+I149+I150+I152+I153+I159+I160+I161</f>
        <v>540517.45</v>
      </c>
      <c r="J146" s="66">
        <f>+J148+J149+J150+J151+J152+J153+J159+J160+J161</f>
        <v>938523.42</v>
      </c>
      <c r="K146" s="66">
        <f>+K148+K149+K150+K152+K153+K159+K161</f>
        <v>1497650.78</v>
      </c>
      <c r="L146" s="66">
        <f>+L148+L149+L150+L151+L152+L153+L159+L160+L161</f>
        <v>1021755.8</v>
      </c>
      <c r="M146" s="66">
        <f>+M149+M150+M152+M153+M159+M160+M161</f>
        <v>294705.3</v>
      </c>
      <c r="N146" s="66">
        <f>+N148+N149+N150+N151+N152+N153+N159+N160+N161</f>
        <v>627291.2</v>
      </c>
      <c r="O146" s="66">
        <f>+O148+O149+O150+O151+O152+O153+O159+O160+O161</f>
        <v>1249196.3</v>
      </c>
      <c r="P146" s="66">
        <f>+P148+P149+P150+P151+P152+P153+P159+P160+P161</f>
        <v>1668160.6400000001</v>
      </c>
      <c r="Q146" s="70">
        <f>SUM(E146:P146)</f>
        <v>9582922.89</v>
      </c>
      <c r="R146" s="71">
        <f aca="true" t="shared" si="55" ref="R146:R161">+Q146/C146</f>
        <v>1</v>
      </c>
      <c r="S146" s="70">
        <f aca="true" t="shared" si="56" ref="S146:S175">+C146-Q146</f>
        <v>0</v>
      </c>
      <c r="T146" s="71">
        <f aca="true" t="shared" si="57" ref="T146:T175">+S146/C146</f>
        <v>0</v>
      </c>
      <c r="U146" s="89">
        <f>+U148+U149+U150+U151+U152+U153+U159+U160+U161</f>
        <v>0</v>
      </c>
      <c r="V146" s="71">
        <f>+U146/C146</f>
        <v>0</v>
      </c>
      <c r="AB146" s="2"/>
    </row>
    <row r="147" spans="1:28" s="3" customFormat="1" ht="15" hidden="1">
      <c r="A147" s="43" t="s">
        <v>72</v>
      </c>
      <c r="B147" s="6" t="s">
        <v>73</v>
      </c>
      <c r="C147" s="39">
        <f>2140000-300000-4000-600-210000-150000-1400000-30000-45400</f>
        <v>0</v>
      </c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52">
        <f>SUM(D147:E147)</f>
        <v>0</v>
      </c>
      <c r="R147" s="45" t="e">
        <f t="shared" si="55"/>
        <v>#DIV/0!</v>
      </c>
      <c r="S147" s="46">
        <f t="shared" si="56"/>
        <v>0</v>
      </c>
      <c r="T147" s="47" t="e">
        <f t="shared" si="57"/>
        <v>#DIV/0!</v>
      </c>
      <c r="U147" s="87" t="e">
        <f>SUM(D147:T147)</f>
        <v>#DIV/0!</v>
      </c>
      <c r="V147" s="45" t="e">
        <f>+U147/#REF!</f>
        <v>#DIV/0!</v>
      </c>
      <c r="AB147" s="2"/>
    </row>
    <row r="148" spans="1:28" s="3" customFormat="1" ht="15">
      <c r="A148" s="101" t="s">
        <v>280</v>
      </c>
      <c r="B148" s="29" t="s">
        <v>279</v>
      </c>
      <c r="C148" s="38">
        <v>0</v>
      </c>
      <c r="D148" s="39"/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87">
        <f aca="true" t="shared" si="58" ref="Q148:Q180">SUM(E148:P148)</f>
        <v>0</v>
      </c>
      <c r="R148" s="88" t="e">
        <f t="shared" si="55"/>
        <v>#DIV/0!</v>
      </c>
      <c r="S148" s="87">
        <f t="shared" si="56"/>
        <v>0</v>
      </c>
      <c r="T148" s="88" t="e">
        <f t="shared" si="57"/>
        <v>#DIV/0!</v>
      </c>
      <c r="U148" s="87">
        <f aca="true" t="shared" si="59" ref="U148:U182">+C148+D148-Q148</f>
        <v>0</v>
      </c>
      <c r="V148" s="88" t="e">
        <f aca="true" t="shared" si="60" ref="V148:V169">+U148/C148</f>
        <v>#DIV/0!</v>
      </c>
      <c r="AB148" s="2"/>
    </row>
    <row r="149" spans="1:28" s="3" customFormat="1" ht="30">
      <c r="A149" s="94" t="s">
        <v>107</v>
      </c>
      <c r="B149" s="29" t="s">
        <v>74</v>
      </c>
      <c r="C149" s="38">
        <f>100000*12+100000+170000+169750.18</f>
        <v>1639750.18</v>
      </c>
      <c r="D149" s="39"/>
      <c r="E149" s="39">
        <v>0</v>
      </c>
      <c r="F149" s="39">
        <v>62553.65</v>
      </c>
      <c r="G149" s="39">
        <v>0</v>
      </c>
      <c r="H149" s="39">
        <v>0</v>
      </c>
      <c r="I149" s="39">
        <v>0</v>
      </c>
      <c r="J149" s="39">
        <v>0</v>
      </c>
      <c r="K149" s="39">
        <v>1202850.78</v>
      </c>
      <c r="L149" s="39">
        <v>200000</v>
      </c>
      <c r="M149" s="39">
        <v>0</v>
      </c>
      <c r="N149" s="39">
        <v>0</v>
      </c>
      <c r="O149" s="39">
        <v>0</v>
      </c>
      <c r="P149" s="39">
        <v>174345.75</v>
      </c>
      <c r="Q149" s="87">
        <f t="shared" si="58"/>
        <v>1639750.18</v>
      </c>
      <c r="R149" s="88">
        <f t="shared" si="55"/>
        <v>1</v>
      </c>
      <c r="S149" s="87">
        <f t="shared" si="56"/>
        <v>0</v>
      </c>
      <c r="T149" s="88">
        <f t="shared" si="57"/>
        <v>0</v>
      </c>
      <c r="U149" s="87">
        <f t="shared" si="59"/>
        <v>0</v>
      </c>
      <c r="V149" s="88">
        <f t="shared" si="60"/>
        <v>0</v>
      </c>
      <c r="AB149" s="2"/>
    </row>
    <row r="150" spans="1:28" s="3" customFormat="1" ht="30">
      <c r="A150" s="94" t="s">
        <v>142</v>
      </c>
      <c r="B150" s="28" t="s">
        <v>143</v>
      </c>
      <c r="C150" s="38">
        <f>200000+700000+975169.89</f>
        <v>1875169.8900000001</v>
      </c>
      <c r="D150" s="39"/>
      <c r="E150" s="39">
        <v>90000</v>
      </c>
      <c r="F150" s="39">
        <v>100000</v>
      </c>
      <c r="G150" s="39">
        <v>0</v>
      </c>
      <c r="H150" s="39">
        <v>0</v>
      </c>
      <c r="I150" s="39">
        <v>0</v>
      </c>
      <c r="J150" s="39">
        <v>650000</v>
      </c>
      <c r="K150" s="39">
        <v>0</v>
      </c>
      <c r="L150" s="39">
        <v>0</v>
      </c>
      <c r="M150" s="39">
        <v>0</v>
      </c>
      <c r="N150" s="39">
        <v>75000</v>
      </c>
      <c r="O150" s="39">
        <v>60000</v>
      </c>
      <c r="P150" s="39">
        <v>900169.89</v>
      </c>
      <c r="Q150" s="87">
        <f t="shared" si="58"/>
        <v>1875169.8900000001</v>
      </c>
      <c r="R150" s="88">
        <f t="shared" si="55"/>
        <v>1</v>
      </c>
      <c r="S150" s="87">
        <f t="shared" si="56"/>
        <v>0</v>
      </c>
      <c r="T150" s="88">
        <f t="shared" si="57"/>
        <v>0</v>
      </c>
      <c r="U150" s="87">
        <f t="shared" si="59"/>
        <v>0</v>
      </c>
      <c r="V150" s="88">
        <f t="shared" si="60"/>
        <v>0</v>
      </c>
      <c r="AB150" s="2"/>
    </row>
    <row r="151" spans="1:28" s="3" customFormat="1" ht="15">
      <c r="A151" s="94" t="s">
        <v>135</v>
      </c>
      <c r="B151" s="28" t="s">
        <v>136</v>
      </c>
      <c r="C151" s="38">
        <f>250000+250000</f>
        <v>500000</v>
      </c>
      <c r="D151" s="39"/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250000</v>
      </c>
      <c r="M151" s="39">
        <v>0</v>
      </c>
      <c r="N151" s="39">
        <v>0</v>
      </c>
      <c r="O151" s="39">
        <v>250000</v>
      </c>
      <c r="P151" s="39">
        <v>0</v>
      </c>
      <c r="Q151" s="87">
        <f t="shared" si="58"/>
        <v>500000</v>
      </c>
      <c r="R151" s="88">
        <f t="shared" si="55"/>
        <v>1</v>
      </c>
      <c r="S151" s="87">
        <f t="shared" si="56"/>
        <v>0</v>
      </c>
      <c r="T151" s="88">
        <f t="shared" si="57"/>
        <v>0</v>
      </c>
      <c r="U151" s="87">
        <f t="shared" si="59"/>
        <v>0</v>
      </c>
      <c r="V151" s="88">
        <f t="shared" si="60"/>
        <v>0</v>
      </c>
      <c r="AB151" s="2"/>
    </row>
    <row r="152" spans="1:28" s="3" customFormat="1" ht="15">
      <c r="A152" s="43" t="s">
        <v>108</v>
      </c>
      <c r="B152" s="6" t="s">
        <v>145</v>
      </c>
      <c r="C152" s="38">
        <f>150000*12-240691.1</f>
        <v>1559308.9</v>
      </c>
      <c r="D152" s="39"/>
      <c r="E152" s="39">
        <v>27009.85</v>
      </c>
      <c r="F152" s="39">
        <v>121799.5</v>
      </c>
      <c r="G152" s="39">
        <v>58534</v>
      </c>
      <c r="H152" s="39">
        <v>275875</v>
      </c>
      <c r="I152" s="39">
        <v>184867.45</v>
      </c>
      <c r="J152" s="39">
        <v>42304.5</v>
      </c>
      <c r="K152" s="39">
        <v>0</v>
      </c>
      <c r="L152" s="39">
        <v>325405.8</v>
      </c>
      <c r="M152" s="39">
        <v>8280.3</v>
      </c>
      <c r="N152" s="39">
        <v>155866.2</v>
      </c>
      <c r="O152" s="39">
        <v>47221.3</v>
      </c>
      <c r="P152" s="39">
        <v>312145</v>
      </c>
      <c r="Q152" s="87">
        <f t="shared" si="58"/>
        <v>1559308.9000000001</v>
      </c>
      <c r="R152" s="88">
        <f t="shared" si="55"/>
        <v>1.0000000000000002</v>
      </c>
      <c r="S152" s="87">
        <f t="shared" si="56"/>
        <v>0</v>
      </c>
      <c r="T152" s="88">
        <f t="shared" si="57"/>
        <v>0</v>
      </c>
      <c r="U152" s="87">
        <f t="shared" si="59"/>
        <v>0</v>
      </c>
      <c r="V152" s="88">
        <f t="shared" si="60"/>
        <v>0</v>
      </c>
      <c r="AB152" s="2"/>
    </row>
    <row r="153" spans="1:28" s="3" customFormat="1" ht="30">
      <c r="A153" s="78" t="s">
        <v>173</v>
      </c>
      <c r="B153" s="14" t="s">
        <v>174</v>
      </c>
      <c r="C153" s="38">
        <f>1416000+40000</f>
        <v>1456000</v>
      </c>
      <c r="D153" s="39"/>
      <c r="E153" s="39">
        <v>118000</v>
      </c>
      <c r="F153" s="39">
        <v>118000</v>
      </c>
      <c r="G153" s="39">
        <v>118000</v>
      </c>
      <c r="H153" s="39">
        <v>118000</v>
      </c>
      <c r="I153" s="39">
        <v>118000</v>
      </c>
      <c r="J153" s="39">
        <v>118000</v>
      </c>
      <c r="K153" s="39">
        <v>118000</v>
      </c>
      <c r="L153" s="39">
        <v>118000</v>
      </c>
      <c r="M153" s="39">
        <v>128000</v>
      </c>
      <c r="N153" s="39">
        <v>128000</v>
      </c>
      <c r="O153" s="39">
        <v>128000</v>
      </c>
      <c r="P153" s="39">
        <v>128000</v>
      </c>
      <c r="Q153" s="87">
        <f t="shared" si="58"/>
        <v>1456000</v>
      </c>
      <c r="R153" s="88">
        <f t="shared" si="55"/>
        <v>1</v>
      </c>
      <c r="S153" s="87">
        <f t="shared" si="56"/>
        <v>0</v>
      </c>
      <c r="T153" s="88">
        <f t="shared" si="57"/>
        <v>0</v>
      </c>
      <c r="U153" s="87">
        <f t="shared" si="59"/>
        <v>0</v>
      </c>
      <c r="V153" s="88">
        <f t="shared" si="60"/>
        <v>0</v>
      </c>
      <c r="AB153" s="2"/>
    </row>
    <row r="154" spans="1:28" s="3" customFormat="1" ht="30" hidden="1">
      <c r="A154" s="78" t="s">
        <v>133</v>
      </c>
      <c r="B154" s="14" t="s">
        <v>132</v>
      </c>
      <c r="C154" s="38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87">
        <f t="shared" si="58"/>
        <v>0</v>
      </c>
      <c r="R154" s="88" t="e">
        <f t="shared" si="55"/>
        <v>#DIV/0!</v>
      </c>
      <c r="S154" s="87">
        <f t="shared" si="56"/>
        <v>0</v>
      </c>
      <c r="T154" s="88" t="e">
        <f t="shared" si="57"/>
        <v>#DIV/0!</v>
      </c>
      <c r="U154" s="87">
        <f t="shared" si="59"/>
        <v>0</v>
      </c>
      <c r="V154" s="88" t="e">
        <f t="shared" si="60"/>
        <v>#DIV/0!</v>
      </c>
      <c r="AB154" s="2"/>
    </row>
    <row r="155" spans="1:28" s="3" customFormat="1" ht="30" hidden="1">
      <c r="A155" s="78" t="s">
        <v>164</v>
      </c>
      <c r="B155" s="58" t="s">
        <v>165</v>
      </c>
      <c r="C155" s="38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87">
        <f t="shared" si="58"/>
        <v>0</v>
      </c>
      <c r="R155" s="88" t="e">
        <f t="shared" si="55"/>
        <v>#DIV/0!</v>
      </c>
      <c r="S155" s="87">
        <f t="shared" si="56"/>
        <v>0</v>
      </c>
      <c r="T155" s="88" t="e">
        <f t="shared" si="57"/>
        <v>#DIV/0!</v>
      </c>
      <c r="U155" s="87">
        <f t="shared" si="59"/>
        <v>0</v>
      </c>
      <c r="V155" s="88" t="e">
        <f t="shared" si="60"/>
        <v>#DIV/0!</v>
      </c>
      <c r="AB155" s="2"/>
    </row>
    <row r="156" spans="1:28" s="3" customFormat="1" ht="30" hidden="1">
      <c r="A156" s="78" t="s">
        <v>149</v>
      </c>
      <c r="B156" s="33" t="s">
        <v>184</v>
      </c>
      <c r="C156" s="38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87">
        <f t="shared" si="58"/>
        <v>0</v>
      </c>
      <c r="R156" s="88" t="e">
        <f t="shared" si="55"/>
        <v>#DIV/0!</v>
      </c>
      <c r="S156" s="87">
        <f t="shared" si="56"/>
        <v>0</v>
      </c>
      <c r="T156" s="88" t="e">
        <f t="shared" si="57"/>
        <v>#DIV/0!</v>
      </c>
      <c r="U156" s="87">
        <f t="shared" si="59"/>
        <v>0</v>
      </c>
      <c r="V156" s="88" t="e">
        <f t="shared" si="60"/>
        <v>#DIV/0!</v>
      </c>
      <c r="W156" s="4"/>
      <c r="X156" s="4"/>
      <c r="Y156" s="4"/>
      <c r="Z156" s="4"/>
      <c r="AA156" s="4"/>
      <c r="AB156" s="17"/>
    </row>
    <row r="157" spans="1:28" s="3" customFormat="1" ht="15" hidden="1">
      <c r="A157" s="43"/>
      <c r="B157" s="6"/>
      <c r="C157" s="3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87">
        <f t="shared" si="58"/>
        <v>0</v>
      </c>
      <c r="R157" s="88" t="e">
        <f t="shared" si="55"/>
        <v>#DIV/0!</v>
      </c>
      <c r="S157" s="87">
        <f t="shared" si="56"/>
        <v>0</v>
      </c>
      <c r="T157" s="88" t="e">
        <f t="shared" si="57"/>
        <v>#DIV/0!</v>
      </c>
      <c r="U157" s="87">
        <f t="shared" si="59"/>
        <v>0</v>
      </c>
      <c r="V157" s="88" t="e">
        <f t="shared" si="60"/>
        <v>#DIV/0!</v>
      </c>
      <c r="W157" s="4"/>
      <c r="X157" s="4"/>
      <c r="Y157" s="4"/>
      <c r="Z157" s="4"/>
      <c r="AA157" s="4"/>
      <c r="AB157" s="17"/>
    </row>
    <row r="158" spans="1:28" s="3" customFormat="1" ht="15" hidden="1">
      <c r="A158" s="43"/>
      <c r="B158" s="14"/>
      <c r="C158" s="3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87">
        <f t="shared" si="58"/>
        <v>0</v>
      </c>
      <c r="R158" s="88" t="e">
        <f t="shared" si="55"/>
        <v>#DIV/0!</v>
      </c>
      <c r="S158" s="87">
        <f t="shared" si="56"/>
        <v>0</v>
      </c>
      <c r="T158" s="88" t="e">
        <f t="shared" si="57"/>
        <v>#DIV/0!</v>
      </c>
      <c r="U158" s="87">
        <f t="shared" si="59"/>
        <v>0</v>
      </c>
      <c r="V158" s="88" t="e">
        <f t="shared" si="60"/>
        <v>#DIV/0!</v>
      </c>
      <c r="W158" s="4"/>
      <c r="X158" s="4"/>
      <c r="Y158" s="4"/>
      <c r="Z158" s="4"/>
      <c r="AA158" s="4"/>
      <c r="AB158" s="17"/>
    </row>
    <row r="159" spans="1:28" s="3" customFormat="1" ht="30">
      <c r="A159" s="78" t="s">
        <v>133</v>
      </c>
      <c r="B159" s="14" t="s">
        <v>132</v>
      </c>
      <c r="C159" s="38">
        <f>900000+50000+120000+1059668.92</f>
        <v>2129668.92</v>
      </c>
      <c r="D159" s="39"/>
      <c r="E159" s="39">
        <v>230000</v>
      </c>
      <c r="F159" s="39">
        <v>50000</v>
      </c>
      <c r="G159" s="39">
        <v>40000</v>
      </c>
      <c r="H159" s="39">
        <v>60000</v>
      </c>
      <c r="I159" s="39">
        <v>210000</v>
      </c>
      <c r="J159" s="39">
        <v>100368.92</v>
      </c>
      <c r="K159" s="39">
        <v>148750</v>
      </c>
      <c r="L159" s="39">
        <v>100000</v>
      </c>
      <c r="M159" s="39">
        <v>130000</v>
      </c>
      <c r="N159" s="39">
        <v>200000</v>
      </c>
      <c r="O159" s="39">
        <v>735550</v>
      </c>
      <c r="P159" s="39">
        <v>125000</v>
      </c>
      <c r="Q159" s="87">
        <f t="shared" si="58"/>
        <v>2129668.92</v>
      </c>
      <c r="R159" s="88">
        <f t="shared" si="55"/>
        <v>1</v>
      </c>
      <c r="S159" s="87">
        <f t="shared" si="56"/>
        <v>0</v>
      </c>
      <c r="T159" s="88">
        <f t="shared" si="57"/>
        <v>0</v>
      </c>
      <c r="U159" s="87">
        <f t="shared" si="59"/>
        <v>0</v>
      </c>
      <c r="V159" s="88">
        <f t="shared" si="60"/>
        <v>0</v>
      </c>
      <c r="W159" s="4"/>
      <c r="X159" s="4"/>
      <c r="Y159" s="4"/>
      <c r="Z159" s="4"/>
      <c r="AA159" s="4"/>
      <c r="AB159" s="17"/>
    </row>
    <row r="160" spans="1:28" s="3" customFormat="1" ht="30">
      <c r="A160" s="78" t="s">
        <v>164</v>
      </c>
      <c r="B160" s="58" t="s">
        <v>165</v>
      </c>
      <c r="C160" s="38">
        <f>150000-65000</f>
        <v>85000</v>
      </c>
      <c r="D160" s="39"/>
      <c r="E160" s="39">
        <v>0</v>
      </c>
      <c r="F160" s="39">
        <v>0</v>
      </c>
      <c r="G160" s="39">
        <v>45000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40000</v>
      </c>
      <c r="O160" s="39">
        <v>0</v>
      </c>
      <c r="P160" s="39">
        <v>0</v>
      </c>
      <c r="Q160" s="87">
        <f t="shared" si="58"/>
        <v>85000</v>
      </c>
      <c r="R160" s="88">
        <f t="shared" si="55"/>
        <v>1</v>
      </c>
      <c r="S160" s="87">
        <f t="shared" si="56"/>
        <v>0</v>
      </c>
      <c r="T160" s="88">
        <f t="shared" si="57"/>
        <v>0</v>
      </c>
      <c r="U160" s="87">
        <f t="shared" si="59"/>
        <v>0</v>
      </c>
      <c r="V160" s="88">
        <f t="shared" si="60"/>
        <v>0</v>
      </c>
      <c r="W160" s="4"/>
      <c r="X160" s="4"/>
      <c r="Y160" s="4"/>
      <c r="Z160" s="4"/>
      <c r="AA160" s="4"/>
      <c r="AB160" s="17"/>
    </row>
    <row r="161" spans="1:28" s="3" customFormat="1" ht="46.5" customHeight="1">
      <c r="A161" s="78" t="s">
        <v>149</v>
      </c>
      <c r="B161" s="33" t="s">
        <v>184</v>
      </c>
      <c r="C161" s="38">
        <f>200000+30000+30000+78025</f>
        <v>338025</v>
      </c>
      <c r="D161" s="39"/>
      <c r="E161" s="39">
        <v>28400</v>
      </c>
      <c r="F161" s="39">
        <v>28350</v>
      </c>
      <c r="G161" s="39">
        <v>27850</v>
      </c>
      <c r="H161" s="39">
        <v>27750</v>
      </c>
      <c r="I161" s="39">
        <v>27650</v>
      </c>
      <c r="J161" s="39">
        <v>27850</v>
      </c>
      <c r="K161" s="39">
        <v>28050</v>
      </c>
      <c r="L161" s="39">
        <v>28350</v>
      </c>
      <c r="M161" s="39">
        <v>28425</v>
      </c>
      <c r="N161" s="39">
        <v>28425</v>
      </c>
      <c r="O161" s="39">
        <v>28425</v>
      </c>
      <c r="P161" s="39">
        <v>28500</v>
      </c>
      <c r="Q161" s="87">
        <f t="shared" si="58"/>
        <v>338025</v>
      </c>
      <c r="R161" s="88">
        <f t="shared" si="55"/>
        <v>1</v>
      </c>
      <c r="S161" s="87">
        <f t="shared" si="56"/>
        <v>0</v>
      </c>
      <c r="T161" s="88">
        <f t="shared" si="57"/>
        <v>0</v>
      </c>
      <c r="U161" s="87">
        <f t="shared" si="59"/>
        <v>0</v>
      </c>
      <c r="V161" s="88">
        <f t="shared" si="60"/>
        <v>0</v>
      </c>
      <c r="W161" s="4"/>
      <c r="X161" s="4"/>
      <c r="Y161" s="4"/>
      <c r="Z161" s="4"/>
      <c r="AA161" s="4"/>
      <c r="AB161" s="17"/>
    </row>
    <row r="162" spans="1:28" s="3" customFormat="1" ht="15">
      <c r="A162" s="20" t="s">
        <v>75</v>
      </c>
      <c r="B162" s="8" t="s">
        <v>271</v>
      </c>
      <c r="C162" s="66">
        <f>+C163+C164+C165+C166</f>
        <v>437628.95999999996</v>
      </c>
      <c r="D162" s="66">
        <f>+D163+D164+D165+D166</f>
        <v>5031067.94</v>
      </c>
      <c r="E162" s="66">
        <f aca="true" t="shared" si="61" ref="E162:P162">+E163+E164+E165+E166</f>
        <v>0</v>
      </c>
      <c r="F162" s="66">
        <f t="shared" si="61"/>
        <v>127524.96</v>
      </c>
      <c r="G162" s="66">
        <f t="shared" si="61"/>
        <v>0</v>
      </c>
      <c r="H162" s="66">
        <f>+H163+H164+H165+H166</f>
        <v>0</v>
      </c>
      <c r="I162" s="66">
        <f t="shared" si="61"/>
        <v>0</v>
      </c>
      <c r="J162" s="66">
        <f t="shared" si="61"/>
        <v>0</v>
      </c>
      <c r="K162" s="66">
        <f t="shared" si="61"/>
        <v>0</v>
      </c>
      <c r="L162" s="66">
        <f t="shared" si="61"/>
        <v>0</v>
      </c>
      <c r="M162" s="66">
        <f t="shared" si="61"/>
        <v>0</v>
      </c>
      <c r="N162" s="66">
        <f t="shared" si="61"/>
        <v>310104</v>
      </c>
      <c r="O162" s="66">
        <f t="shared" si="61"/>
        <v>0</v>
      </c>
      <c r="P162" s="66">
        <f t="shared" si="61"/>
        <v>0</v>
      </c>
      <c r="Q162" s="70">
        <f>SUM(E162:P162)</f>
        <v>437628.96</v>
      </c>
      <c r="R162" s="71">
        <f>+Q162/(C162+D162)</f>
        <v>0.08002435827079757</v>
      </c>
      <c r="S162" s="70">
        <f t="shared" si="56"/>
        <v>0</v>
      </c>
      <c r="T162" s="71">
        <f t="shared" si="57"/>
        <v>0</v>
      </c>
      <c r="U162" s="89">
        <f>+C162+D162-Q162</f>
        <v>5031067.94</v>
      </c>
      <c r="V162" s="71">
        <f t="shared" si="60"/>
        <v>11.496195178673736</v>
      </c>
      <c r="W162" s="4"/>
      <c r="X162" s="4"/>
      <c r="Y162" s="4"/>
      <c r="Z162" s="4"/>
      <c r="AA162" s="4"/>
      <c r="AB162" s="17"/>
    </row>
    <row r="163" spans="1:28" s="10" customFormat="1" ht="15">
      <c r="A163" s="95" t="s">
        <v>109</v>
      </c>
      <c r="B163" s="23" t="s">
        <v>161</v>
      </c>
      <c r="C163" s="38">
        <v>0</v>
      </c>
      <c r="D163" s="39">
        <v>5031067.94</v>
      </c>
      <c r="E163" s="39">
        <v>0</v>
      </c>
      <c r="F163" s="38">
        <v>0</v>
      </c>
      <c r="G163" s="38">
        <v>0</v>
      </c>
      <c r="H163" s="38"/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87">
        <f t="shared" si="58"/>
        <v>0</v>
      </c>
      <c r="R163" s="88" t="e">
        <f>+Q163/C163</f>
        <v>#DIV/0!</v>
      </c>
      <c r="S163" s="87">
        <f t="shared" si="56"/>
        <v>0</v>
      </c>
      <c r="T163" s="88" t="e">
        <f t="shared" si="57"/>
        <v>#DIV/0!</v>
      </c>
      <c r="U163" s="87">
        <f t="shared" si="59"/>
        <v>5031067.94</v>
      </c>
      <c r="V163" s="88" t="e">
        <f t="shared" si="60"/>
        <v>#DIV/0!</v>
      </c>
      <c r="AB163" s="1"/>
    </row>
    <row r="164" spans="1:28" s="10" customFormat="1" ht="15">
      <c r="A164" s="94" t="s">
        <v>185</v>
      </c>
      <c r="B164" s="28" t="s">
        <v>186</v>
      </c>
      <c r="C164" s="38">
        <v>310104</v>
      </c>
      <c r="D164" s="39"/>
      <c r="E164" s="39">
        <v>0</v>
      </c>
      <c r="F164" s="38">
        <v>0</v>
      </c>
      <c r="G164" s="38">
        <v>0</v>
      </c>
      <c r="H164" s="38"/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310104</v>
      </c>
      <c r="O164" s="38">
        <v>0</v>
      </c>
      <c r="P164" s="38">
        <v>0</v>
      </c>
      <c r="Q164" s="87">
        <f t="shared" si="58"/>
        <v>310104</v>
      </c>
      <c r="R164" s="88">
        <f>+Q164/C164</f>
        <v>1</v>
      </c>
      <c r="S164" s="87">
        <f t="shared" si="56"/>
        <v>0</v>
      </c>
      <c r="T164" s="88">
        <f t="shared" si="57"/>
        <v>0</v>
      </c>
      <c r="U164" s="87">
        <f t="shared" si="59"/>
        <v>0</v>
      </c>
      <c r="V164" s="88">
        <f t="shared" si="60"/>
        <v>0</v>
      </c>
      <c r="AB164" s="1"/>
    </row>
    <row r="165" spans="1:28" s="10" customFormat="1" ht="30">
      <c r="A165" s="94" t="s">
        <v>119</v>
      </c>
      <c r="B165" s="28" t="s">
        <v>150</v>
      </c>
      <c r="C165" s="38">
        <f>300000-172475.04</f>
        <v>127524.95999999999</v>
      </c>
      <c r="D165" s="39"/>
      <c r="E165" s="39">
        <v>0</v>
      </c>
      <c r="F165" s="38">
        <v>127524.96</v>
      </c>
      <c r="G165" s="38">
        <v>0</v>
      </c>
      <c r="H165" s="38"/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87">
        <f t="shared" si="58"/>
        <v>127524.96</v>
      </c>
      <c r="R165" s="88">
        <f>+Q165/C165</f>
        <v>1.0000000000000002</v>
      </c>
      <c r="S165" s="87">
        <f t="shared" si="56"/>
        <v>0</v>
      </c>
      <c r="T165" s="88">
        <f t="shared" si="57"/>
        <v>0</v>
      </c>
      <c r="U165" s="87">
        <f t="shared" si="59"/>
        <v>0</v>
      </c>
      <c r="V165" s="88">
        <f t="shared" si="60"/>
        <v>0</v>
      </c>
      <c r="AB165" s="1"/>
    </row>
    <row r="166" spans="1:28" s="15" customFormat="1" ht="15">
      <c r="A166" s="78" t="s">
        <v>117</v>
      </c>
      <c r="B166" s="58" t="s">
        <v>187</v>
      </c>
      <c r="C166" s="38">
        <v>0</v>
      </c>
      <c r="D166" s="39"/>
      <c r="E166" s="39">
        <v>0</v>
      </c>
      <c r="F166" s="38">
        <v>0</v>
      </c>
      <c r="G166" s="38">
        <v>0</v>
      </c>
      <c r="H166" s="38"/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87">
        <f t="shared" si="58"/>
        <v>0</v>
      </c>
      <c r="R166" s="88" t="e">
        <f>+Q166/C166</f>
        <v>#DIV/0!</v>
      </c>
      <c r="S166" s="87">
        <f t="shared" si="56"/>
        <v>0</v>
      </c>
      <c r="T166" s="88" t="e">
        <f t="shared" si="57"/>
        <v>#DIV/0!</v>
      </c>
      <c r="U166" s="87">
        <f t="shared" si="59"/>
        <v>0</v>
      </c>
      <c r="V166" s="88" t="e">
        <f t="shared" si="60"/>
        <v>#DIV/0!</v>
      </c>
      <c r="AB166" s="13"/>
    </row>
    <row r="167" spans="1:28" s="15" customFormat="1" ht="35.25" customHeight="1">
      <c r="A167" s="35" t="s">
        <v>326</v>
      </c>
      <c r="B167" s="85" t="s">
        <v>327</v>
      </c>
      <c r="C167" s="66">
        <f>+C168+C169</f>
        <v>3776000</v>
      </c>
      <c r="D167" s="66">
        <f>+D168+D169</f>
        <v>944000</v>
      </c>
      <c r="E167" s="66">
        <f>+E169</f>
        <v>0</v>
      </c>
      <c r="F167" s="66">
        <f>+F169</f>
        <v>0</v>
      </c>
      <c r="G167" s="66">
        <f>+G169</f>
        <v>0</v>
      </c>
      <c r="H167" s="66">
        <f>+H169</f>
        <v>0</v>
      </c>
      <c r="I167" s="66">
        <f>+I169+I170</f>
        <v>0</v>
      </c>
      <c r="J167" s="66">
        <f>+J169+J170</f>
        <v>0</v>
      </c>
      <c r="K167" s="66">
        <f>+K169</f>
        <v>0</v>
      </c>
      <c r="L167" s="66">
        <f>+L169</f>
        <v>0</v>
      </c>
      <c r="M167" s="66">
        <f>+M168+M169</f>
        <v>944000</v>
      </c>
      <c r="N167" s="66">
        <f>+N169</f>
        <v>0</v>
      </c>
      <c r="O167" s="66">
        <f>+O168</f>
        <v>3776000</v>
      </c>
      <c r="P167" s="66">
        <f>+P169</f>
        <v>0</v>
      </c>
      <c r="Q167" s="70">
        <f>SUM(E167:P167)</f>
        <v>4720000</v>
      </c>
      <c r="R167" s="71">
        <f>+Q167/(C167+D167)</f>
        <v>1</v>
      </c>
      <c r="S167" s="70">
        <f>+C167-Q167</f>
        <v>-944000</v>
      </c>
      <c r="T167" s="71">
        <f>+S167/C167</f>
        <v>-0.25</v>
      </c>
      <c r="U167" s="89">
        <f>+C167+D167-Q167</f>
        <v>0</v>
      </c>
      <c r="V167" s="110">
        <f>+U167/D167</f>
        <v>0</v>
      </c>
      <c r="AB167" s="13"/>
    </row>
    <row r="168" spans="1:28" s="15" customFormat="1" ht="15">
      <c r="A168" s="131" t="s">
        <v>342</v>
      </c>
      <c r="B168" s="130" t="s">
        <v>341</v>
      </c>
      <c r="C168" s="34">
        <f>3776000</f>
        <v>3776000</v>
      </c>
      <c r="D168" s="34">
        <v>944000</v>
      </c>
      <c r="E168" s="39">
        <v>0</v>
      </c>
      <c r="F168" s="39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944000</v>
      </c>
      <c r="N168" s="38">
        <v>0</v>
      </c>
      <c r="O168" s="38">
        <v>3776000</v>
      </c>
      <c r="P168" s="38">
        <v>0</v>
      </c>
      <c r="Q168" s="87">
        <f>SUM(E168:P168)</f>
        <v>4720000</v>
      </c>
      <c r="R168" s="88">
        <f>+Q168/(D168+C168)</f>
        <v>1</v>
      </c>
      <c r="S168" s="87">
        <f>+C168-Q168</f>
        <v>-944000</v>
      </c>
      <c r="T168" s="88">
        <f>+S168/C168</f>
        <v>-0.25</v>
      </c>
      <c r="U168" s="87">
        <f>+C168+D168-Q168</f>
        <v>0</v>
      </c>
      <c r="V168" s="88">
        <f>+U168/C168</f>
        <v>0</v>
      </c>
      <c r="W168" s="88"/>
      <c r="AB168" s="13"/>
    </row>
    <row r="169" spans="1:28" s="15" customFormat="1" ht="15">
      <c r="A169" s="125" t="s">
        <v>325</v>
      </c>
      <c r="B169" s="102" t="s">
        <v>328</v>
      </c>
      <c r="C169" s="34">
        <v>0</v>
      </c>
      <c r="D169" s="39">
        <v>0</v>
      </c>
      <c r="E169" s="39">
        <v>0</v>
      </c>
      <c r="F169" s="38">
        <v>0</v>
      </c>
      <c r="G169" s="38"/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87">
        <f>SUM(E169:P169)</f>
        <v>0</v>
      </c>
      <c r="R169" s="88" t="e">
        <f>+Q169/(C169+D169)</f>
        <v>#DIV/0!</v>
      </c>
      <c r="S169" s="87">
        <f>+C169-Q169</f>
        <v>0</v>
      </c>
      <c r="T169" s="88" t="e">
        <f>+S169/C169</f>
        <v>#DIV/0!</v>
      </c>
      <c r="U169" s="87">
        <f>+C169+D169-Q169</f>
        <v>0</v>
      </c>
      <c r="V169" s="88" t="e">
        <f t="shared" si="60"/>
        <v>#DIV/0!</v>
      </c>
      <c r="AB169" s="13"/>
    </row>
    <row r="170" spans="1:28" s="15" customFormat="1" ht="30">
      <c r="A170" s="35" t="s">
        <v>254</v>
      </c>
      <c r="B170" s="99" t="s">
        <v>256</v>
      </c>
      <c r="C170" s="66">
        <f>+C171+C172</f>
        <v>0</v>
      </c>
      <c r="D170" s="66">
        <f>+D171+D172</f>
        <v>0</v>
      </c>
      <c r="E170" s="66">
        <f aca="true" t="shared" si="62" ref="E170:P170">+E171</f>
        <v>0</v>
      </c>
      <c r="F170" s="66">
        <f t="shared" si="62"/>
        <v>0</v>
      </c>
      <c r="G170" s="66">
        <f t="shared" si="62"/>
        <v>0</v>
      </c>
      <c r="H170" s="66">
        <f t="shared" si="62"/>
        <v>0</v>
      </c>
      <c r="I170" s="66">
        <f>+I171+I172</f>
        <v>0</v>
      </c>
      <c r="J170" s="66">
        <f>+J171+J172</f>
        <v>0</v>
      </c>
      <c r="K170" s="66">
        <f t="shared" si="62"/>
        <v>0</v>
      </c>
      <c r="L170" s="66">
        <f t="shared" si="62"/>
        <v>0</v>
      </c>
      <c r="M170" s="66">
        <f t="shared" si="62"/>
        <v>0</v>
      </c>
      <c r="N170" s="66">
        <f t="shared" si="62"/>
        <v>0</v>
      </c>
      <c r="O170" s="66">
        <f t="shared" si="62"/>
        <v>0</v>
      </c>
      <c r="P170" s="66">
        <f t="shared" si="62"/>
        <v>0</v>
      </c>
      <c r="Q170" s="70">
        <f>SUM(E170:P170)</f>
        <v>0</v>
      </c>
      <c r="R170" s="71" t="e">
        <f>+Q170/(C170+D170)</f>
        <v>#DIV/0!</v>
      </c>
      <c r="S170" s="70">
        <f>+C170-Q170</f>
        <v>0</v>
      </c>
      <c r="T170" s="71" t="e">
        <f>+S170/C170</f>
        <v>#DIV/0!</v>
      </c>
      <c r="U170" s="89">
        <f>+C170+D170-Q170</f>
        <v>0</v>
      </c>
      <c r="V170" s="110" t="e">
        <f>+U170/D170</f>
        <v>#DIV/0!</v>
      </c>
      <c r="AB170" s="13"/>
    </row>
    <row r="171" spans="1:28" s="15" customFormat="1" ht="15">
      <c r="A171" s="92" t="s">
        <v>176</v>
      </c>
      <c r="B171" s="97" t="s">
        <v>255</v>
      </c>
      <c r="C171" s="34">
        <v>0</v>
      </c>
      <c r="D171" s="39"/>
      <c r="E171" s="39">
        <v>0</v>
      </c>
      <c r="F171" s="38">
        <v>0</v>
      </c>
      <c r="G171" s="38">
        <v>0</v>
      </c>
      <c r="H171" s="38"/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87">
        <f t="shared" si="58"/>
        <v>0</v>
      </c>
      <c r="R171" s="88" t="e">
        <f>+Q171/(C171+D171)</f>
        <v>#DIV/0!</v>
      </c>
      <c r="S171" s="87">
        <f t="shared" si="56"/>
        <v>0</v>
      </c>
      <c r="T171" s="88" t="e">
        <f t="shared" si="57"/>
        <v>#DIV/0!</v>
      </c>
      <c r="U171" s="87">
        <f t="shared" si="59"/>
        <v>0</v>
      </c>
      <c r="V171" s="88" t="e">
        <f>+U171/D171</f>
        <v>#DIV/0!</v>
      </c>
      <c r="AB171" s="13"/>
    </row>
    <row r="172" spans="1:28" s="15" customFormat="1" ht="15">
      <c r="A172" s="92" t="s">
        <v>257</v>
      </c>
      <c r="B172" s="97" t="s">
        <v>258</v>
      </c>
      <c r="C172" s="34">
        <v>0</v>
      </c>
      <c r="D172" s="39"/>
      <c r="E172" s="39">
        <v>0</v>
      </c>
      <c r="F172" s="38">
        <v>0</v>
      </c>
      <c r="G172" s="38">
        <v>0</v>
      </c>
      <c r="H172" s="38"/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87">
        <f t="shared" si="58"/>
        <v>0</v>
      </c>
      <c r="R172" s="88" t="e">
        <f>+Q172/(C172+D172)</f>
        <v>#DIV/0!</v>
      </c>
      <c r="S172" s="87">
        <f>+C172-Q172</f>
        <v>0</v>
      </c>
      <c r="T172" s="88" t="e">
        <f>+S172/C172</f>
        <v>#DIV/0!</v>
      </c>
      <c r="U172" s="87">
        <f t="shared" si="59"/>
        <v>0</v>
      </c>
      <c r="V172" s="88" t="e">
        <f>+U172/D172</f>
        <v>#DIV/0!</v>
      </c>
      <c r="AB172" s="13"/>
    </row>
    <row r="173" spans="1:28" s="15" customFormat="1" ht="15">
      <c r="A173" s="20" t="s">
        <v>246</v>
      </c>
      <c r="B173" s="20" t="s">
        <v>248</v>
      </c>
      <c r="C173" s="66">
        <f>+C174+C175</f>
        <v>456342.58</v>
      </c>
      <c r="D173" s="66">
        <f>+D174+D175</f>
        <v>0</v>
      </c>
      <c r="E173" s="66"/>
      <c r="F173" s="66"/>
      <c r="G173" s="66"/>
      <c r="H173" s="66">
        <f>+H174+H175</f>
        <v>0</v>
      </c>
      <c r="I173" s="66">
        <f>+I174+I175</f>
        <v>0</v>
      </c>
      <c r="J173" s="66">
        <f>+J174+J175</f>
        <v>0</v>
      </c>
      <c r="K173" s="66"/>
      <c r="L173" s="66">
        <f>+L174+L175</f>
        <v>456342.58</v>
      </c>
      <c r="M173" s="66">
        <f>+M174+M175</f>
        <v>0</v>
      </c>
      <c r="N173" s="66">
        <f>+N174+N175</f>
        <v>0</v>
      </c>
      <c r="O173" s="66">
        <f>+O174+O175</f>
        <v>0</v>
      </c>
      <c r="P173" s="66">
        <f>+P174+P175</f>
        <v>0</v>
      </c>
      <c r="Q173" s="70">
        <f>SUM(E173:P173)</f>
        <v>456342.58</v>
      </c>
      <c r="R173" s="71">
        <f>+C174/Q173</f>
        <v>1</v>
      </c>
      <c r="S173" s="70">
        <f t="shared" si="56"/>
        <v>0</v>
      </c>
      <c r="T173" s="71">
        <f t="shared" si="57"/>
        <v>0</v>
      </c>
      <c r="U173" s="89">
        <f>+U174+U175</f>
        <v>0</v>
      </c>
      <c r="V173" s="71">
        <f>+U173/C173</f>
        <v>0</v>
      </c>
      <c r="AB173" s="13"/>
    </row>
    <row r="174" spans="1:28" s="15" customFormat="1" ht="15">
      <c r="A174" s="102" t="s">
        <v>249</v>
      </c>
      <c r="B174" s="23" t="s">
        <v>247</v>
      </c>
      <c r="C174" s="34">
        <f>560000-103657.42</f>
        <v>456342.58</v>
      </c>
      <c r="D174" s="39"/>
      <c r="E174" s="39">
        <v>0</v>
      </c>
      <c r="F174" s="38">
        <v>0</v>
      </c>
      <c r="G174" s="38">
        <v>0</v>
      </c>
      <c r="H174" s="38"/>
      <c r="I174" s="38">
        <v>0</v>
      </c>
      <c r="J174" s="38">
        <v>0</v>
      </c>
      <c r="K174" s="38">
        <v>0</v>
      </c>
      <c r="L174" s="38">
        <v>456342.58</v>
      </c>
      <c r="M174" s="38">
        <v>0</v>
      </c>
      <c r="N174" s="38"/>
      <c r="O174" s="38">
        <v>0</v>
      </c>
      <c r="P174" s="38">
        <v>0</v>
      </c>
      <c r="Q174" s="87">
        <f t="shared" si="58"/>
        <v>456342.58</v>
      </c>
      <c r="R174" s="88">
        <f>+Q174/C174</f>
        <v>1</v>
      </c>
      <c r="S174" s="87">
        <f t="shared" si="56"/>
        <v>0</v>
      </c>
      <c r="T174" s="88">
        <f t="shared" si="57"/>
        <v>0</v>
      </c>
      <c r="U174" s="87">
        <f t="shared" si="59"/>
        <v>0</v>
      </c>
      <c r="V174" s="88">
        <f>+U174/C174</f>
        <v>0</v>
      </c>
      <c r="AB174" s="13"/>
    </row>
    <row r="175" spans="1:28" s="15" customFormat="1" ht="30">
      <c r="A175" s="109" t="s">
        <v>251</v>
      </c>
      <c r="B175" s="29" t="s">
        <v>250</v>
      </c>
      <c r="C175" s="34">
        <v>0</v>
      </c>
      <c r="D175" s="39"/>
      <c r="E175" s="39">
        <v>0</v>
      </c>
      <c r="F175" s="38">
        <v>0</v>
      </c>
      <c r="G175" s="38">
        <v>0</v>
      </c>
      <c r="H175" s="38"/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87">
        <f t="shared" si="58"/>
        <v>0</v>
      </c>
      <c r="R175" s="88" t="e">
        <f>+Q175/C175</f>
        <v>#DIV/0!</v>
      </c>
      <c r="S175" s="87">
        <f t="shared" si="56"/>
        <v>0</v>
      </c>
      <c r="T175" s="88" t="e">
        <f t="shared" si="57"/>
        <v>#DIV/0!</v>
      </c>
      <c r="U175" s="87">
        <f t="shared" si="59"/>
        <v>0</v>
      </c>
      <c r="V175" s="88" t="e">
        <f>+U175/C175</f>
        <v>#DIV/0!</v>
      </c>
      <c r="AB175" s="13"/>
    </row>
    <row r="176" spans="1:28" s="15" customFormat="1" ht="15">
      <c r="A176" s="20" t="s">
        <v>197</v>
      </c>
      <c r="B176" s="20" t="s">
        <v>198</v>
      </c>
      <c r="C176" s="66">
        <f>+C177+C178</f>
        <v>0</v>
      </c>
      <c r="D176" s="66">
        <f>+D177+D178</f>
        <v>1304986.78</v>
      </c>
      <c r="E176" s="66">
        <f aca="true" t="shared" si="63" ref="E176:P176">+E178</f>
        <v>0</v>
      </c>
      <c r="F176" s="66">
        <v>0</v>
      </c>
      <c r="G176" s="66">
        <f t="shared" si="63"/>
        <v>0</v>
      </c>
      <c r="H176" s="66">
        <f>+H178</f>
        <v>0</v>
      </c>
      <c r="I176" s="66">
        <f t="shared" si="63"/>
        <v>0</v>
      </c>
      <c r="J176" s="66">
        <f>+J177+J178</f>
        <v>0</v>
      </c>
      <c r="K176" s="66">
        <f t="shared" si="63"/>
        <v>0</v>
      </c>
      <c r="L176" s="66">
        <f>+L177</f>
        <v>1304986.78</v>
      </c>
      <c r="M176" s="66">
        <f t="shared" si="63"/>
        <v>0</v>
      </c>
      <c r="N176" s="66">
        <f t="shared" si="63"/>
        <v>0</v>
      </c>
      <c r="O176" s="66">
        <f t="shared" si="63"/>
        <v>0</v>
      </c>
      <c r="P176" s="66">
        <f t="shared" si="63"/>
        <v>0</v>
      </c>
      <c r="Q176" s="70">
        <f>SUM(E176:P176)</f>
        <v>1304986.78</v>
      </c>
      <c r="R176" s="71" t="e">
        <f>+Q176/C176</f>
        <v>#DIV/0!</v>
      </c>
      <c r="S176" s="70">
        <f aca="true" t="shared" si="64" ref="S176:S182">+C176-Q176</f>
        <v>-1304986.78</v>
      </c>
      <c r="T176" s="71" t="e">
        <f aca="true" t="shared" si="65" ref="T176:T183">+S176/C176</f>
        <v>#DIV/0!</v>
      </c>
      <c r="U176" s="89">
        <f>+U178</f>
        <v>0</v>
      </c>
      <c r="V176" s="71" t="e">
        <f>+U176/C176</f>
        <v>#DIV/0!</v>
      </c>
      <c r="AB176" s="13"/>
    </row>
    <row r="177" spans="1:28" s="15" customFormat="1" ht="15">
      <c r="A177" s="102" t="s">
        <v>281</v>
      </c>
      <c r="B177" s="23" t="s">
        <v>282</v>
      </c>
      <c r="C177" s="34">
        <v>0</v>
      </c>
      <c r="D177" s="39">
        <v>1304986.78</v>
      </c>
      <c r="E177" s="39">
        <v>0</v>
      </c>
      <c r="F177" s="38">
        <v>0</v>
      </c>
      <c r="G177" s="38">
        <v>0</v>
      </c>
      <c r="H177" s="38"/>
      <c r="I177" s="38">
        <v>0</v>
      </c>
      <c r="J177" s="38">
        <v>0</v>
      </c>
      <c r="K177" s="38">
        <v>0</v>
      </c>
      <c r="L177" s="38">
        <v>1304986.78</v>
      </c>
      <c r="M177" s="38">
        <v>0</v>
      </c>
      <c r="N177" s="38">
        <v>0</v>
      </c>
      <c r="O177" s="38">
        <v>0</v>
      </c>
      <c r="P177" s="38">
        <v>0</v>
      </c>
      <c r="Q177" s="87">
        <f>SUM(E177:P177)</f>
        <v>1304986.78</v>
      </c>
      <c r="R177" s="88">
        <f>+Q177/(D177+C177)</f>
        <v>1</v>
      </c>
      <c r="S177" s="87">
        <f t="shared" si="64"/>
        <v>-1304986.78</v>
      </c>
      <c r="T177" s="88" t="e">
        <f t="shared" si="65"/>
        <v>#DIV/0!</v>
      </c>
      <c r="U177" s="87">
        <f>+C177+D177-Q177</f>
        <v>0</v>
      </c>
      <c r="V177" s="88" t="e">
        <f>+U177/C177</f>
        <v>#DIV/0!</v>
      </c>
      <c r="AB177" s="13"/>
    </row>
    <row r="178" spans="1:28" s="15" customFormat="1" ht="15">
      <c r="A178" s="102" t="s">
        <v>166</v>
      </c>
      <c r="B178" s="23" t="s">
        <v>167</v>
      </c>
      <c r="C178" s="34">
        <v>0</v>
      </c>
      <c r="D178" s="39"/>
      <c r="E178" s="39">
        <v>0</v>
      </c>
      <c r="F178" s="38">
        <v>0</v>
      </c>
      <c r="G178" s="38">
        <v>0</v>
      </c>
      <c r="H178" s="38"/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87">
        <f t="shared" si="58"/>
        <v>0</v>
      </c>
      <c r="R178" s="88" t="e">
        <f aca="true" t="shared" si="66" ref="R178:R183">+Q178/C178</f>
        <v>#DIV/0!</v>
      </c>
      <c r="S178" s="87">
        <f t="shared" si="64"/>
        <v>0</v>
      </c>
      <c r="T178" s="88" t="e">
        <f t="shared" si="65"/>
        <v>#DIV/0!</v>
      </c>
      <c r="U178" s="87">
        <f t="shared" si="59"/>
        <v>0</v>
      </c>
      <c r="V178" s="88" t="e">
        <f aca="true" t="shared" si="67" ref="V178:V183">+U178/C178</f>
        <v>#DIV/0!</v>
      </c>
      <c r="AB178" s="13"/>
    </row>
    <row r="179" spans="1:28" s="15" customFormat="1" ht="15">
      <c r="A179" s="20" t="s">
        <v>134</v>
      </c>
      <c r="B179" s="20" t="s">
        <v>153</v>
      </c>
      <c r="C179" s="66">
        <f>+C180</f>
        <v>0</v>
      </c>
      <c r="D179" s="66">
        <f>+D180</f>
        <v>38522791.12</v>
      </c>
      <c r="E179" s="66">
        <f aca="true" t="shared" si="68" ref="E179:P179">+E180</f>
        <v>0</v>
      </c>
      <c r="F179" s="66">
        <f t="shared" si="68"/>
        <v>0</v>
      </c>
      <c r="G179" s="66">
        <f t="shared" si="68"/>
        <v>0</v>
      </c>
      <c r="H179" s="66">
        <f>+H180</f>
        <v>0</v>
      </c>
      <c r="I179" s="66">
        <f t="shared" si="68"/>
        <v>0</v>
      </c>
      <c r="J179" s="66">
        <f t="shared" si="68"/>
        <v>0</v>
      </c>
      <c r="K179" s="66">
        <f t="shared" si="68"/>
        <v>0</v>
      </c>
      <c r="L179" s="66">
        <f t="shared" si="68"/>
        <v>0</v>
      </c>
      <c r="M179" s="66">
        <f t="shared" si="68"/>
        <v>9013005.15</v>
      </c>
      <c r="N179" s="66">
        <f t="shared" si="68"/>
        <v>9473661.71</v>
      </c>
      <c r="O179" s="66">
        <f t="shared" si="68"/>
        <v>0</v>
      </c>
      <c r="P179" s="66">
        <f t="shared" si="68"/>
        <v>10188349.43</v>
      </c>
      <c r="Q179" s="70">
        <f>SUM(E179:P179)</f>
        <v>28675016.29</v>
      </c>
      <c r="R179" s="71" t="e">
        <f t="shared" si="66"/>
        <v>#DIV/0!</v>
      </c>
      <c r="S179" s="70">
        <f t="shared" si="64"/>
        <v>-28675016.29</v>
      </c>
      <c r="T179" s="71" t="e">
        <f t="shared" si="65"/>
        <v>#DIV/0!</v>
      </c>
      <c r="U179" s="89">
        <f>+U180</f>
        <v>9847774.829999998</v>
      </c>
      <c r="V179" s="72" t="e">
        <f t="shared" si="67"/>
        <v>#DIV/0!</v>
      </c>
      <c r="AB179" s="13"/>
    </row>
    <row r="180" spans="1:28" s="15" customFormat="1" ht="15">
      <c r="A180" s="102" t="s">
        <v>120</v>
      </c>
      <c r="B180" s="23" t="s">
        <v>121</v>
      </c>
      <c r="C180" s="34">
        <v>0</v>
      </c>
      <c r="D180" s="39">
        <f>21770383.22+6904633.07+9847774.83</f>
        <v>38522791.12</v>
      </c>
      <c r="E180" s="39">
        <v>0</v>
      </c>
      <c r="F180" s="38">
        <v>0</v>
      </c>
      <c r="G180" s="38">
        <v>0</v>
      </c>
      <c r="H180" s="38"/>
      <c r="I180" s="38">
        <v>0</v>
      </c>
      <c r="J180" s="38">
        <v>0</v>
      </c>
      <c r="K180" s="38">
        <v>0</v>
      </c>
      <c r="L180" s="38">
        <v>0</v>
      </c>
      <c r="M180" s="38">
        <v>9013005.15</v>
      </c>
      <c r="N180" s="38">
        <v>9473661.71</v>
      </c>
      <c r="O180" s="38">
        <v>0</v>
      </c>
      <c r="P180" s="38">
        <v>10188349.43</v>
      </c>
      <c r="Q180" s="87">
        <f t="shared" si="58"/>
        <v>28675016.29</v>
      </c>
      <c r="R180" s="88" t="e">
        <f t="shared" si="66"/>
        <v>#DIV/0!</v>
      </c>
      <c r="S180" s="87">
        <f t="shared" si="64"/>
        <v>-28675016.29</v>
      </c>
      <c r="T180" s="88" t="e">
        <f t="shared" si="65"/>
        <v>#DIV/0!</v>
      </c>
      <c r="U180" s="87">
        <f t="shared" si="59"/>
        <v>9847774.829999998</v>
      </c>
      <c r="V180" s="88" t="e">
        <f t="shared" si="67"/>
        <v>#DIV/0!</v>
      </c>
      <c r="AB180" s="13"/>
    </row>
    <row r="181" spans="1:28" s="15" customFormat="1" ht="15">
      <c r="A181" s="20" t="s">
        <v>151</v>
      </c>
      <c r="B181" s="8" t="s">
        <v>152</v>
      </c>
      <c r="C181" s="66">
        <f>+C182</f>
        <v>160000</v>
      </c>
      <c r="D181" s="66">
        <f>+D182</f>
        <v>0</v>
      </c>
      <c r="E181" s="66">
        <f aca="true" t="shared" si="69" ref="E181:N181">+E182</f>
        <v>160000</v>
      </c>
      <c r="F181" s="66">
        <f t="shared" si="69"/>
        <v>0</v>
      </c>
      <c r="G181" s="66">
        <f t="shared" si="69"/>
        <v>0</v>
      </c>
      <c r="H181" s="66">
        <f t="shared" si="69"/>
        <v>0</v>
      </c>
      <c r="I181" s="66">
        <f t="shared" si="69"/>
        <v>0</v>
      </c>
      <c r="J181" s="66">
        <f t="shared" si="69"/>
        <v>0</v>
      </c>
      <c r="K181" s="66">
        <f t="shared" si="69"/>
        <v>0</v>
      </c>
      <c r="L181" s="66">
        <f t="shared" si="69"/>
        <v>0</v>
      </c>
      <c r="M181" s="66">
        <f t="shared" si="69"/>
        <v>0</v>
      </c>
      <c r="N181" s="66">
        <f t="shared" si="69"/>
        <v>0</v>
      </c>
      <c r="O181" s="66">
        <f>+O182</f>
        <v>0</v>
      </c>
      <c r="P181" s="66">
        <f>+P182</f>
        <v>0</v>
      </c>
      <c r="Q181" s="70">
        <f>SUM(E181:P181)</f>
        <v>160000</v>
      </c>
      <c r="R181" s="71">
        <f t="shared" si="66"/>
        <v>1</v>
      </c>
      <c r="S181" s="70">
        <f t="shared" si="64"/>
        <v>0</v>
      </c>
      <c r="T181" s="71">
        <f t="shared" si="65"/>
        <v>0</v>
      </c>
      <c r="U181" s="89">
        <f>+U182</f>
        <v>0</v>
      </c>
      <c r="V181" s="72">
        <f t="shared" si="67"/>
        <v>0</v>
      </c>
      <c r="AB181" s="13"/>
    </row>
    <row r="182" spans="1:28" s="15" customFormat="1" ht="15">
      <c r="A182" s="102" t="s">
        <v>155</v>
      </c>
      <c r="B182" s="23" t="s">
        <v>154</v>
      </c>
      <c r="C182" s="34">
        <f>320000-160000</f>
        <v>160000</v>
      </c>
      <c r="D182" s="39"/>
      <c r="E182" s="39">
        <v>160000</v>
      </c>
      <c r="F182" s="38">
        <v>0</v>
      </c>
      <c r="G182" s="38">
        <v>0</v>
      </c>
      <c r="H182" s="38"/>
      <c r="I182" s="38">
        <v>0</v>
      </c>
      <c r="J182" s="38">
        <v>0</v>
      </c>
      <c r="K182" s="38">
        <v>0</v>
      </c>
      <c r="L182" s="38">
        <v>0</v>
      </c>
      <c r="M182" s="38"/>
      <c r="N182" s="38">
        <v>0</v>
      </c>
      <c r="O182" s="38">
        <v>0</v>
      </c>
      <c r="P182" s="38">
        <v>0</v>
      </c>
      <c r="Q182" s="87">
        <f>SUM(E182:P182)</f>
        <v>160000</v>
      </c>
      <c r="R182" s="88">
        <f t="shared" si="66"/>
        <v>1</v>
      </c>
      <c r="S182" s="87">
        <f t="shared" si="64"/>
        <v>0</v>
      </c>
      <c r="T182" s="88">
        <f t="shared" si="65"/>
        <v>0</v>
      </c>
      <c r="U182" s="87">
        <f t="shared" si="59"/>
        <v>0</v>
      </c>
      <c r="V182" s="88">
        <f t="shared" si="67"/>
        <v>0</v>
      </c>
      <c r="AB182" s="13"/>
    </row>
    <row r="183" spans="1:28" s="16" customFormat="1" ht="15.75">
      <c r="A183" s="143" t="s">
        <v>272</v>
      </c>
      <c r="B183" s="143"/>
      <c r="C183" s="73">
        <f>+C15+C20+C26+C30+C33+C41+C44+C47+C50+C54+C56+C66+C77+C82+C93+C98+C103+C106+C111+C118+C132+C146+C162+C170+C173+C176+C179+C181+C167</f>
        <v>1773049739.9999998</v>
      </c>
      <c r="D183" s="73">
        <f>+D15+D20+D26+D30+D33+D41+D44+D47+D50+D54+D56+D66+D77+D82+D93+D98+D103+D106+D111+D118+D132+D146+D162+D170+D173+D176+D179+D181+D167</f>
        <v>236331449.70000002</v>
      </c>
      <c r="E183" s="73">
        <f>+E15+E20+E26+E30+E33+E41+E44+E47+E50+E54+E56+E66+E77+E82+E93+E98+E103+E106+E111+E118+E132+E146+E162+E170+E173+E176+E179+E181</f>
        <v>138636322.07000002</v>
      </c>
      <c r="F183" s="73">
        <f>+F15+F20+F26+F30+F33+F41+F44+F47+F50+F54+F56+F66+F77+F82+F93+F98+F103+F106+F111+F118+F132+F146+F162+F170+F173+F176+F179+F181</f>
        <v>134809057.16</v>
      </c>
      <c r="G183" s="73">
        <f>+G15+G20+G26+G30+G33+G41+G44+G47+G50+G54+G56+G66+G77+G82+G93+G98+G103+G106+G111+G118+G132+G146+G162+G170+G173+G176+G179+G181</f>
        <v>243238847.34</v>
      </c>
      <c r="H183" s="73">
        <f>+H167+H162+H146+H132+H118+H111+H106+H103+H93+H82+H77+H66+H56+H54+H50+H47+H44+H41+H33+H30+H26+H20+H15</f>
        <v>129943430.64</v>
      </c>
      <c r="I183" s="73">
        <f aca="true" t="shared" si="70" ref="I183:N183">+I15+I20+I26+I30+I33+I41+I44+I47+I50+I54+I56+I66+I77+I82+I93+I98+I103+I106+I111+I118+I132+I146+I162+I170+I173+I176+I179+I181</f>
        <v>131666036.92000002</v>
      </c>
      <c r="J183" s="73">
        <f t="shared" si="70"/>
        <v>134749988.38</v>
      </c>
      <c r="K183" s="73">
        <f t="shared" si="70"/>
        <v>146702434.66</v>
      </c>
      <c r="L183" s="73">
        <f>+L15+L20+L26+L30+L33+L41+L44+L47+L50+L54+L56+L66+L77+L82+L93+L98+L103+L106+L111+L118+L132+L146+L162+L170+L173+L176+L179+L181</f>
        <v>140909305.60000005</v>
      </c>
      <c r="M183" s="73">
        <f>+M15+M20+M26+M30+M33+M41+M44+M47+M50+M54+M56+M66+M77+M82+M93+M98+M103+M106+M111+M118+M132+M146+M162+M167+M170+M173+M176+M179</f>
        <v>153480812.72</v>
      </c>
      <c r="N183" s="73">
        <f t="shared" si="70"/>
        <v>189116916.44000006</v>
      </c>
      <c r="O183" s="73">
        <f>+O15+O20+O26+O30+O33+O41+O44+O47+O50+O54+O56+O66+O77+O82+O93+O98+O103+O106+O111+O118+O132+O146+O162+O167+O170+O173+O176+O179+O181</f>
        <v>165395232.56000003</v>
      </c>
      <c r="P183" s="73">
        <f>+P15+P20+P26+P30+P33+P41+P44+P47+P50+P54+P56+P66+P77+P82+P93+P98+P103+P106+P111+P118+P132+P146+P162+P170+P173+P176+P179+P181+P167</f>
        <v>239841370.18999997</v>
      </c>
      <c r="Q183" s="74">
        <f>SUM(E183:P183)</f>
        <v>1948489754.6800003</v>
      </c>
      <c r="R183" s="75">
        <f t="shared" si="66"/>
        <v>1.0989481629996463</v>
      </c>
      <c r="S183" s="76" t="e">
        <f>+S162+#REF!+S146+S132+S118+#REF!+#REF!+#REF!+S106+S82+S77+S56+S54+S50+S47+S44+S41+S33+S15+S93</f>
        <v>#REF!</v>
      </c>
      <c r="T183" s="75" t="e">
        <f t="shared" si="65"/>
        <v>#REF!</v>
      </c>
      <c r="U183" s="80">
        <f>+C183-Q183</f>
        <v>-175440014.68000054</v>
      </c>
      <c r="V183" s="77">
        <f t="shared" si="67"/>
        <v>-0.09894816299964634</v>
      </c>
      <c r="W183" s="91"/>
      <c r="AB183" s="98"/>
    </row>
    <row r="184" spans="3:22" s="17" customFormat="1" ht="15">
      <c r="C184" s="60">
        <v>1773049740</v>
      </c>
      <c r="D184" s="60"/>
      <c r="E184" s="18">
        <f>+(E183/(C183+D183))*100%</f>
        <v>0.0689945356215355</v>
      </c>
      <c r="F184" s="18">
        <f>+(F183/(D183+C183))*100%</f>
        <v>0.0670898373345114</v>
      </c>
      <c r="G184" s="18">
        <f>+(G183/(C183+D183))*100%</f>
        <v>0.1210516195666764</v>
      </c>
      <c r="H184" s="18">
        <f>+(H183/(C183+D183))*100%</f>
        <v>0.06466838213977734</v>
      </c>
      <c r="I184" s="18">
        <f>+(I183/(C183+D183))*100%</f>
        <v>0.06552566411734835</v>
      </c>
      <c r="J184" s="18">
        <f>+(J183/(C183+D183))*100%</f>
        <v>0.06706044083159658</v>
      </c>
      <c r="K184" s="18">
        <f>+(K183/(C183+D183))*100%</f>
        <v>0.07300876280319049</v>
      </c>
      <c r="L184" s="18">
        <f>+(L183/(C183+D183))*100%</f>
        <v>0.07012572145210426</v>
      </c>
      <c r="M184" s="18">
        <f>+(M183/(C183+D183))*100%</f>
        <v>0.07638212874029872</v>
      </c>
      <c r="N184" s="18">
        <f>+(N183/(C183+D183))*100%</f>
        <v>0.0941169935348281</v>
      </c>
      <c r="O184" s="18">
        <f>+(O183/(C183+D183))*100%</f>
        <v>0.0823115262588347</v>
      </c>
      <c r="P184" s="18">
        <f>+(P183/(C183+D183))*100%</f>
        <v>0.11936081188547815</v>
      </c>
      <c r="Q184" s="18"/>
      <c r="R184" s="18"/>
      <c r="S184" s="18"/>
      <c r="T184" s="18"/>
      <c r="U184" s="134"/>
      <c r="V184" s="19"/>
    </row>
    <row r="185" spans="2:22" s="17" customFormat="1" ht="15">
      <c r="B185" s="108"/>
      <c r="C185" s="60"/>
      <c r="D185" s="60"/>
      <c r="E185" s="19"/>
      <c r="F185" s="19"/>
      <c r="G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81"/>
      <c r="U185" s="135"/>
      <c r="V185" s="19"/>
    </row>
    <row r="186" spans="3:22" s="17" customFormat="1" ht="15">
      <c r="C186" s="60">
        <f>+C183-C184</f>
        <v>0</v>
      </c>
      <c r="D186" s="60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81"/>
      <c r="U186" s="135"/>
      <c r="V186" s="19"/>
    </row>
    <row r="187" spans="3:22" s="17" customFormat="1" ht="15">
      <c r="C187" s="60"/>
      <c r="D187" s="60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81"/>
      <c r="U187" s="135"/>
      <c r="V187" s="19"/>
    </row>
    <row r="188" spans="3:22" s="17" customFormat="1" ht="15">
      <c r="C188" s="60"/>
      <c r="D188" s="60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81"/>
      <c r="U188" s="135"/>
      <c r="V188" s="19"/>
    </row>
    <row r="189" spans="3:22" s="17" customFormat="1" ht="15">
      <c r="C189" s="60"/>
      <c r="D189" s="60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81"/>
      <c r="U189" s="135"/>
      <c r="V189" s="19"/>
    </row>
    <row r="190" spans="1:28" ht="15">
      <c r="A190" s="17"/>
      <c r="B190" s="17"/>
      <c r="D190" s="79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18"/>
      <c r="U190" s="136"/>
      <c r="V190" s="21"/>
      <c r="AB190" s="4"/>
    </row>
    <row r="191" spans="1:28" ht="15">
      <c r="A191" s="17"/>
      <c r="B191" s="17"/>
      <c r="D191" s="79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18"/>
      <c r="U191" s="136"/>
      <c r="V191" s="21"/>
      <c r="AB191" s="4"/>
    </row>
    <row r="192" spans="3:21" s="17" customFormat="1" ht="15">
      <c r="C192" s="60"/>
      <c r="D192" s="60"/>
      <c r="E192" s="19"/>
      <c r="U192" s="137"/>
    </row>
    <row r="193" spans="3:21" s="17" customFormat="1" ht="15">
      <c r="C193" s="60"/>
      <c r="D193" s="60"/>
      <c r="E193" s="19"/>
      <c r="H193" s="19"/>
      <c r="U193" s="137"/>
    </row>
    <row r="194" spans="3:21" s="17" customFormat="1" ht="15">
      <c r="C194" s="60"/>
      <c r="D194" s="60"/>
      <c r="H194" s="19"/>
      <c r="U194" s="137"/>
    </row>
    <row r="195" spans="3:21" s="17" customFormat="1" ht="15">
      <c r="C195" s="60"/>
      <c r="D195" s="60"/>
      <c r="H195" s="60"/>
      <c r="U195" s="137"/>
    </row>
    <row r="196" spans="3:21" s="17" customFormat="1" ht="15">
      <c r="C196" s="60"/>
      <c r="D196" s="60"/>
      <c r="H196" s="60"/>
      <c r="U196" s="137"/>
    </row>
    <row r="197" spans="3:28" ht="15">
      <c r="C197" s="60"/>
      <c r="D197" s="79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U197" s="138"/>
      <c r="V197" s="4"/>
      <c r="AB197" s="4"/>
    </row>
    <row r="198" spans="3:28" ht="15">
      <c r="C198" s="60"/>
      <c r="D198" s="79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U198" s="138"/>
      <c r="V198" s="4"/>
      <c r="AB198" s="4"/>
    </row>
    <row r="199" spans="3:28" ht="15">
      <c r="C199" s="60"/>
      <c r="D199" s="79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U199" s="138"/>
      <c r="V199" s="4"/>
      <c r="AB199" s="4"/>
    </row>
  </sheetData>
  <sheetProtection/>
  <mergeCells count="10">
    <mergeCell ref="A9:V9"/>
    <mergeCell ref="E13:P13"/>
    <mergeCell ref="A183:B183"/>
    <mergeCell ref="B13:B14"/>
    <mergeCell ref="B3:B4"/>
    <mergeCell ref="A5:V5"/>
    <mergeCell ref="A6:V6"/>
    <mergeCell ref="A7:V7"/>
    <mergeCell ref="A8:V8"/>
    <mergeCell ref="A13:A14"/>
  </mergeCells>
  <printOptions/>
  <pageMargins left="0.17" right="0.17" top="0.31" bottom="0.55" header="0.17" footer="0.55"/>
  <pageSetup horizontalDpi="600" verticalDpi="600" orientation="landscape" paperSize="153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kenya.mercedes</dc:creator>
  <cp:keywords/>
  <dc:description/>
  <cp:lastModifiedBy>FRANCHESCA M. TRONCOSO REYES</cp:lastModifiedBy>
  <cp:lastPrinted>2024-01-10T15:04:05Z</cp:lastPrinted>
  <dcterms:created xsi:type="dcterms:W3CDTF">2019-01-09T20:58:22Z</dcterms:created>
  <dcterms:modified xsi:type="dcterms:W3CDTF">2024-01-11T12:30:42Z</dcterms:modified>
  <cp:category/>
  <cp:version/>
  <cp:contentType/>
  <cp:contentStatus/>
</cp:coreProperties>
</file>